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ll Agency" sheetId="1" r:id="rId1"/>
    <sheet name="Gen Univ Sum" sheetId="2" r:id="rId2"/>
    <sheet name="Ag Exp " sheetId="3" r:id="rId3"/>
    <sheet name="Coop Ext" sheetId="4" r:id="rId4"/>
    <sheet name="Okm " sheetId="5" r:id="rId5"/>
    <sheet name="Vet Med " sheetId="6" r:id="rId6"/>
    <sheet name="OKC " sheetId="7" r:id="rId7"/>
    <sheet name="CHS" sheetId="8" r:id="rId8"/>
    <sheet name="Tulsa " sheetId="9" r:id="rId9"/>
  </sheets>
  <definedNames>
    <definedName name="_xlnm.Print_Area" localSheetId="0">'All Agency'!$A$1:$L$48</definedName>
  </definedNames>
  <calcPr fullCalcOnLoad="1"/>
</workbook>
</file>

<file path=xl/sharedStrings.xml><?xml version="1.0" encoding="utf-8"?>
<sst xmlns="http://schemas.openxmlformats.org/spreadsheetml/2006/main" count="407" uniqueCount="139">
  <si>
    <t>OKLAHOMA STATE UNIVERSITY SYSTEM</t>
  </si>
  <si>
    <t>AGRICULTURAL</t>
  </si>
  <si>
    <t xml:space="preserve">OKLAHOMA </t>
  </si>
  <si>
    <t>CENTER FOR</t>
  </si>
  <si>
    <t xml:space="preserve">OSU </t>
  </si>
  <si>
    <t>GENERAL</t>
  </si>
  <si>
    <t>COOPERATIVE</t>
  </si>
  <si>
    <t>OSU</t>
  </si>
  <si>
    <t>VETERINARY</t>
  </si>
  <si>
    <t>OKLAHOMA</t>
  </si>
  <si>
    <t>HEALTH</t>
  </si>
  <si>
    <t>GRAND</t>
  </si>
  <si>
    <t>UNIVERSITY</t>
  </si>
  <si>
    <t>EXT. SERVICE</t>
  </si>
  <si>
    <t>HLTH SCIENCES</t>
  </si>
  <si>
    <t>CITY</t>
  </si>
  <si>
    <t>SCIENCES</t>
  </si>
  <si>
    <t>TULSA</t>
  </si>
  <si>
    <t>TOTAL</t>
  </si>
  <si>
    <t>BUDGETED REVENUE</t>
  </si>
  <si>
    <t>EDUCATIONAL &amp; GENERAL:</t>
  </si>
  <si>
    <t>STATE APPROPRIATIONS</t>
  </si>
  <si>
    <t>FEDERAL APPROPRIATIONS</t>
  </si>
  <si>
    <t>TUITION &amp; FEES</t>
  </si>
  <si>
    <t>GIFTS, GRANTS, REIMBRSMT</t>
  </si>
  <si>
    <t>SALES-EDUC DEPARTMENTS</t>
  </si>
  <si>
    <t>ORGANIZED ACTIVITIES</t>
  </si>
  <si>
    <t>NON-CREDIT PUB SERV PROGRAMS</t>
  </si>
  <si>
    <t>OTHER INCOME</t>
  </si>
  <si>
    <t>TOTAL BUDGETED REVENUE</t>
  </si>
  <si>
    <t>PRIOR YEAR BALANCES</t>
  </si>
  <si>
    <t>TOTAL EDUCATION &amp; GENERAL</t>
  </si>
  <si>
    <t>SPONSORED PROGRAMS</t>
  </si>
  <si>
    <t>AUX ENT-STUDENT ACTIVITY</t>
  </si>
  <si>
    <t>STUDENT AID</t>
  </si>
  <si>
    <t>TOTAL FUNDS AVAILABLE</t>
  </si>
  <si>
    <t>BUDGETED EXPENDITURES</t>
  </si>
  <si>
    <t>INSTRUCTION</t>
  </si>
  <si>
    <t>RESEARCH</t>
  </si>
  <si>
    <t>PUBLIC SERVICE</t>
  </si>
  <si>
    <t>LIBRARIES</t>
  </si>
  <si>
    <t>ACADEMIC SUPPORT</t>
  </si>
  <si>
    <t>STUDENT SERVICES</t>
  </si>
  <si>
    <t>INSTITUTIONAL SUPPORT</t>
  </si>
  <si>
    <t>PHYSICAL PLANT</t>
  </si>
  <si>
    <t>SCHOLARSHIPS &amp; FELLOWSHIPS</t>
  </si>
  <si>
    <t>TOTAL BUDGETED EXPENDITURES</t>
  </si>
  <si>
    <t>DOLLAR</t>
  </si>
  <si>
    <t>BUDGET</t>
  </si>
  <si>
    <t>INCREASE</t>
  </si>
  <si>
    <t>(DECREASE)</t>
  </si>
  <si>
    <t>BUDGETED REVENUE:</t>
  </si>
  <si>
    <t xml:space="preserve">  STATE APPROPRIATIONS</t>
  </si>
  <si>
    <t xml:space="preserve">  STUDENT FEES</t>
  </si>
  <si>
    <t xml:space="preserve">  GIFTS ,GRANTS, REIMBURSEMENTS</t>
  </si>
  <si>
    <t xml:space="preserve">  SALES - EDUCATIONAL DEPARTMENTS</t>
  </si>
  <si>
    <t xml:space="preserve">  ORGANIZED ACTIVITIES</t>
  </si>
  <si>
    <t xml:space="preserve">  NON-CREDIT PUB SERV PROGRAMS </t>
  </si>
  <si>
    <t xml:space="preserve">  OTHER REVENUE</t>
  </si>
  <si>
    <t>BUDGETED EXPENSE: (BY OBJECT)</t>
  </si>
  <si>
    <t xml:space="preserve">  TEACHING SALARIES</t>
  </si>
  <si>
    <t xml:space="preserve">  PROFESSIONAL SALARIES</t>
  </si>
  <si>
    <t xml:space="preserve">  OTHER SALARIES &amp; WAGES</t>
  </si>
  <si>
    <t xml:space="preserve">  STAFF BENEFITS</t>
  </si>
  <si>
    <t xml:space="preserve">  PROFESSIONAL SERVICES</t>
  </si>
  <si>
    <t xml:space="preserve">  SUPPLIES &amp; MATERIALS</t>
  </si>
  <si>
    <t xml:space="preserve">  EQUIPMENT</t>
  </si>
  <si>
    <t xml:space="preserve">  BOOKS &amp; PERIODICALS</t>
  </si>
  <si>
    <t xml:space="preserve">  TRAVEL</t>
  </si>
  <si>
    <t xml:space="preserve">  COMMUNICATIONS EXPENSE</t>
  </si>
  <si>
    <t xml:space="preserve">  UTILITIES EXPENSE</t>
  </si>
  <si>
    <t xml:space="preserve">  SCHOLARSHIPS &amp; FELLOWSHIPS</t>
  </si>
  <si>
    <t xml:space="preserve">  CONTRACTUAL SERVICES</t>
  </si>
  <si>
    <t xml:space="preserve">  OTHER CURRENT EXPENSE</t>
  </si>
  <si>
    <t>TOTAL BUDGETED EXPENSE</t>
  </si>
  <si>
    <t xml:space="preserve">  INSTRUCTION</t>
  </si>
  <si>
    <t xml:space="preserve">  RESEARCH</t>
  </si>
  <si>
    <t xml:space="preserve">  PUBLIC SERVICE</t>
  </si>
  <si>
    <t xml:space="preserve">  LIBRARIES</t>
  </si>
  <si>
    <t xml:space="preserve">  OTHER ACADEMIC SUPPORT</t>
  </si>
  <si>
    <t xml:space="preserve">  STUDENT SERVICES</t>
  </si>
  <si>
    <t xml:space="preserve">  INSTITUTIONAL SUPPORT</t>
  </si>
  <si>
    <t xml:space="preserve">  PHYSICAL PLANT</t>
  </si>
  <si>
    <t xml:space="preserve">    STATE APPROPRIATIONS</t>
  </si>
  <si>
    <t xml:space="preserve">    FEDERAL APPROPRIATIONS:</t>
  </si>
  <si>
    <t xml:space="preserve">      HATCH</t>
  </si>
  <si>
    <t xml:space="preserve">      MULTI-STATE</t>
  </si>
  <si>
    <t xml:space="preserve">      MCINTIRE - STENNIS</t>
  </si>
  <si>
    <t xml:space="preserve">      ANIMAL HEALTH</t>
  </si>
  <si>
    <t xml:space="preserve">    ENDOWMENTS, GIFTS, &amp; BEQUESTS</t>
  </si>
  <si>
    <t xml:space="preserve">    STATION SALES &amp; SERVICES</t>
  </si>
  <si>
    <t xml:space="preserve">    PROFESSIONAL SALARIES</t>
  </si>
  <si>
    <t xml:space="preserve">    OTHER SALARIES &amp; WAGES</t>
  </si>
  <si>
    <t xml:space="preserve">    STAFF BENEFITS</t>
  </si>
  <si>
    <t xml:space="preserve">    SUPPLIES &amp; MATERIALS</t>
  </si>
  <si>
    <t xml:space="preserve">    EQUIPMENT</t>
  </si>
  <si>
    <t xml:space="preserve">    TRAVEL</t>
  </si>
  <si>
    <t xml:space="preserve">    COMMUNICATIONS EXPENSE</t>
  </si>
  <si>
    <t xml:space="preserve">    UTILITIES EXPENSE</t>
  </si>
  <si>
    <t xml:space="preserve">    CONTRACTUAL SERVICES</t>
  </si>
  <si>
    <t xml:space="preserve">    OTHER CURRENT EXPENSE</t>
  </si>
  <si>
    <t xml:space="preserve">    FEDERAL APPROPRIATIONS</t>
  </si>
  <si>
    <t xml:space="preserve">    EXTENSION SALES &amp; SERVICES</t>
  </si>
  <si>
    <t xml:space="preserve">    BOOKS &amp; PERIODICALS</t>
  </si>
  <si>
    <t xml:space="preserve">    PUBLIC SERVICES</t>
  </si>
  <si>
    <t xml:space="preserve">    STUDENT FEES</t>
  </si>
  <si>
    <t xml:space="preserve">    GIFTS, GRANTS, REIMBURSEMENTS</t>
  </si>
  <si>
    <t xml:space="preserve">    NON-CREDIT PUB SERV PROGRAMS</t>
  </si>
  <si>
    <t xml:space="preserve">    OTHER REVENUE</t>
  </si>
  <si>
    <t xml:space="preserve">    TEACHING SALARIES</t>
  </si>
  <si>
    <t xml:space="preserve">    SCHOLARSHIPS &amp; FELLOWSHIPS</t>
  </si>
  <si>
    <t xml:space="preserve">    INSTRUCTION</t>
  </si>
  <si>
    <t xml:space="preserve">    LIBRARIES</t>
  </si>
  <si>
    <t xml:space="preserve">    OTHER ACADEMIC SUPPORT</t>
  </si>
  <si>
    <t xml:space="preserve">    STUDENT SERVICES</t>
  </si>
  <si>
    <t xml:space="preserve">    INSTITUTIONAL SUPPORT</t>
  </si>
  <si>
    <t xml:space="preserve">    PHYSICAL PLANT</t>
  </si>
  <si>
    <t xml:space="preserve">    GIFTS ,GRANTS, REIMBURSEMENTS</t>
  </si>
  <si>
    <t xml:space="preserve">    SALES - EDUCATIONAL DEPARTMENTS</t>
  </si>
  <si>
    <t xml:space="preserve">    RESEARCH</t>
  </si>
  <si>
    <t xml:space="preserve">    PUBLIC SERVICE</t>
  </si>
  <si>
    <t xml:space="preserve">    OTHER INCOME</t>
  </si>
  <si>
    <t xml:space="preserve">    SCHOLARSHIPS &amp; FELLOWSHIPS   </t>
  </si>
  <si>
    <t>EXPENDITURES BY FUNCTION:</t>
  </si>
  <si>
    <t>PERCENTAGE</t>
  </si>
  <si>
    <t xml:space="preserve">    TOTAL FEDERAL APPROPRIATIONS</t>
  </si>
  <si>
    <t>SUMMARY OF REVENUE &amp; EXPENDITURES</t>
  </si>
  <si>
    <t>STATE APPROP-GRANTS,CONTRACTS &amp; REIMB</t>
  </si>
  <si>
    <t xml:space="preserve">  STATE APPROP-GRANTS,CONTRACTS &amp; REIMB</t>
  </si>
  <si>
    <t>EXPER. STATION</t>
  </si>
  <si>
    <t>FY 2010</t>
  </si>
  <si>
    <t>FEDERAL STIMULUS FUNDS - ARRA</t>
  </si>
  <si>
    <t xml:space="preserve">    FEDERAL STIMULUS FUNDS - ARRA</t>
  </si>
  <si>
    <t xml:space="preserve">  FEDERAL STIMULUS FUNDS - ARRA</t>
  </si>
  <si>
    <t>FY 2011</t>
  </si>
  <si>
    <t>FISCAL YEAR ENDING JUNE 30, 2011</t>
  </si>
  <si>
    <t>OSU INST</t>
  </si>
  <si>
    <t>OKMULGEE</t>
  </si>
  <si>
    <t xml:space="preserve">OF TECH -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</si>
</sst>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_);[Red]\(0\)"/>
    <numFmt numFmtId="168" formatCode="0_);\(0\)"/>
    <numFmt numFmtId="169" formatCode="0.0%;\(0.0%\)"/>
    <numFmt numFmtId="170" formatCode="0.00%;\(0.00%\)"/>
    <numFmt numFmtId="171" formatCode="_(&quot;$&quot;* #,##0_);_(&quot;$&quot;* \(#,##0\);_(&quot;$&quot;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"/>
    <numFmt numFmtId="175" formatCode="_(&quot;$&quot;* #,##0.0_);_(&quot;$&quot;* \(#,##0.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59" applyAlignment="1">
      <alignment horizontal="centerContinuous"/>
      <protection/>
    </xf>
    <xf numFmtId="166" fontId="0" fillId="0" borderId="0" xfId="42" applyNumberFormat="1" applyFont="1" applyAlignment="1">
      <alignment horizontal="centerContinuous"/>
    </xf>
    <xf numFmtId="166" fontId="0" fillId="0" borderId="0" xfId="42" applyNumberFormat="1" applyAlignment="1">
      <alignment/>
    </xf>
    <xf numFmtId="166" fontId="2" fillId="0" borderId="0" xfId="42" applyNumberFormat="1" applyFont="1" applyAlignment="1">
      <alignment horizontal="center"/>
    </xf>
    <xf numFmtId="0" fontId="3" fillId="0" borderId="0" xfId="59" applyFont="1">
      <alignment/>
      <protection/>
    </xf>
    <xf numFmtId="0" fontId="0" fillId="0" borderId="0" xfId="59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9" applyFont="1">
      <alignment/>
      <protection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0" xfId="42" applyNumberFormat="1" applyFont="1" applyFill="1" applyAlignment="1">
      <alignment/>
    </xf>
    <xf numFmtId="0" fontId="3" fillId="0" borderId="0" xfId="59" applyFont="1" applyFill="1" applyBorder="1">
      <alignment/>
      <protection/>
    </xf>
    <xf numFmtId="0" fontId="3" fillId="0" borderId="0" xfId="59" applyFont="1" applyBorder="1">
      <alignment/>
      <protection/>
    </xf>
    <xf numFmtId="166" fontId="3" fillId="0" borderId="10" xfId="42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59" applyFont="1" applyBorder="1">
      <alignment/>
      <protection/>
    </xf>
    <xf numFmtId="0" fontId="0" fillId="0" borderId="0" xfId="59" applyFont="1">
      <alignment/>
      <protection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59" applyFont="1">
      <alignment/>
      <protection/>
    </xf>
    <xf numFmtId="0" fontId="3" fillId="0" borderId="0" xfId="0" applyFont="1" applyBorder="1" applyAlignment="1">
      <alignment/>
    </xf>
    <xf numFmtId="0" fontId="2" fillId="0" borderId="0" xfId="60" applyFont="1" applyAlignment="1">
      <alignment horizontal="centerContinuous"/>
      <protection/>
    </xf>
    <xf numFmtId="37" fontId="0" fillId="0" borderId="0" xfId="42" applyNumberFormat="1" applyFont="1" applyAlignment="1">
      <alignment horizontal="centerContinuous"/>
    </xf>
    <xf numFmtId="37" fontId="0" fillId="0" borderId="0" xfId="42" applyNumberFormat="1" applyFont="1" applyAlignment="1">
      <alignment/>
    </xf>
    <xf numFmtId="0" fontId="0" fillId="0" borderId="0" xfId="57">
      <alignment/>
      <protection/>
    </xf>
    <xf numFmtId="37" fontId="0" fillId="0" borderId="0" xfId="57" applyNumberFormat="1">
      <alignment/>
      <protection/>
    </xf>
    <xf numFmtId="170" fontId="0" fillId="0" borderId="0" xfId="57" applyNumberFormat="1">
      <alignment/>
      <protection/>
    </xf>
    <xf numFmtId="170" fontId="0" fillId="0" borderId="0" xfId="67" applyNumberFormat="1" applyFont="1" applyAlignment="1">
      <alignment/>
    </xf>
    <xf numFmtId="0" fontId="0" fillId="0" borderId="0" xfId="58" applyAlignment="1">
      <alignment horizontal="centerContinuous"/>
      <protection/>
    </xf>
    <xf numFmtId="170" fontId="0" fillId="0" borderId="0" xfId="58" applyNumberFormat="1" applyAlignment="1">
      <alignment horizontal="centerContinuous"/>
      <protection/>
    </xf>
    <xf numFmtId="0" fontId="0" fillId="0" borderId="0" xfId="58">
      <alignment/>
      <protection/>
    </xf>
    <xf numFmtId="166" fontId="0" fillId="0" borderId="0" xfId="42" applyNumberFormat="1" applyFont="1" applyAlignment="1">
      <alignment/>
    </xf>
    <xf numFmtId="170" fontId="0" fillId="0" borderId="0" xfId="58" applyNumberFormat="1">
      <alignment/>
      <protection/>
    </xf>
    <xf numFmtId="0" fontId="0" fillId="0" borderId="0" xfId="62" applyAlignment="1">
      <alignment horizontal="centerContinuous"/>
      <protection/>
    </xf>
    <xf numFmtId="170" fontId="0" fillId="0" borderId="0" xfId="67" applyNumberFormat="1" applyFont="1" applyAlignment="1">
      <alignment horizontal="centerContinuous"/>
    </xf>
    <xf numFmtId="0" fontId="0" fillId="0" borderId="0" xfId="62">
      <alignment/>
      <protection/>
    </xf>
    <xf numFmtId="0" fontId="0" fillId="0" borderId="0" xfId="64" applyAlignment="1">
      <alignment horizontal="centerContinuous"/>
      <protection/>
    </xf>
    <xf numFmtId="37" fontId="0" fillId="0" borderId="0" xfId="64" applyNumberFormat="1" applyAlignment="1">
      <alignment horizontal="centerContinuous"/>
      <protection/>
    </xf>
    <xf numFmtId="0" fontId="0" fillId="0" borderId="0" xfId="64">
      <alignment/>
      <protection/>
    </xf>
    <xf numFmtId="37" fontId="0" fillId="0" borderId="0" xfId="64" applyNumberFormat="1">
      <alignment/>
      <protection/>
    </xf>
    <xf numFmtId="0" fontId="0" fillId="0" borderId="0" xfId="61" applyAlignment="1">
      <alignment horizontal="centerContinuous"/>
      <protection/>
    </xf>
    <xf numFmtId="37" fontId="0" fillId="0" borderId="0" xfId="61" applyNumberFormat="1" applyAlignment="1">
      <alignment horizontal="centerContinuous"/>
      <protection/>
    </xf>
    <xf numFmtId="0" fontId="0" fillId="0" borderId="0" xfId="61">
      <alignment/>
      <protection/>
    </xf>
    <xf numFmtId="37" fontId="0" fillId="0" borderId="0" xfId="61" applyNumberFormat="1">
      <alignment/>
      <protection/>
    </xf>
    <xf numFmtId="3" fontId="0" fillId="0" borderId="0" xfId="61" applyNumberFormat="1">
      <alignment/>
      <protection/>
    </xf>
    <xf numFmtId="0" fontId="0" fillId="0" borderId="0" xfId="63">
      <alignment/>
      <protection/>
    </xf>
    <xf numFmtId="0" fontId="2" fillId="0" borderId="0" xfId="63" applyFont="1">
      <alignment/>
      <protection/>
    </xf>
    <xf numFmtId="37" fontId="0" fillId="0" borderId="0" xfId="63" applyNumberForma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60" applyFont="1" applyAlignment="1">
      <alignment horizontal="centerContinuous"/>
      <protection/>
    </xf>
    <xf numFmtId="0" fontId="6" fillId="0" borderId="0" xfId="60" applyFont="1" applyAlignment="1">
      <alignment horizontal="centerContinuous"/>
      <protection/>
    </xf>
    <xf numFmtId="37" fontId="6" fillId="0" borderId="0" xfId="42" applyNumberFormat="1" applyFont="1" applyAlignment="1">
      <alignment horizontal="centerContinuous"/>
    </xf>
    <xf numFmtId="169" fontId="6" fillId="0" borderId="0" xfId="67" applyNumberFormat="1" applyFont="1" applyAlignment="1">
      <alignment horizontal="centerContinuous"/>
    </xf>
    <xf numFmtId="0" fontId="6" fillId="0" borderId="0" xfId="60" applyFont="1">
      <alignment/>
      <protection/>
    </xf>
    <xf numFmtId="0" fontId="5" fillId="0" borderId="0" xfId="60" applyFont="1">
      <alignment/>
      <protection/>
    </xf>
    <xf numFmtId="37" fontId="5" fillId="0" borderId="0" xfId="42" applyNumberFormat="1" applyFont="1" applyAlignment="1">
      <alignment/>
    </xf>
    <xf numFmtId="37" fontId="5" fillId="0" borderId="0" xfId="42" applyNumberFormat="1" applyFont="1" applyAlignment="1">
      <alignment horizontal="center"/>
    </xf>
    <xf numFmtId="169" fontId="5" fillId="0" borderId="0" xfId="67" applyNumberFormat="1" applyFont="1" applyAlignment="1">
      <alignment horizontal="center"/>
    </xf>
    <xf numFmtId="37" fontId="5" fillId="0" borderId="10" xfId="42" applyNumberFormat="1" applyFont="1" applyBorder="1" applyAlignment="1">
      <alignment horizontal="center"/>
    </xf>
    <xf numFmtId="169" fontId="5" fillId="0" borderId="10" xfId="67" applyNumberFormat="1" applyFont="1" applyBorder="1" applyAlignment="1">
      <alignment horizontal="center"/>
    </xf>
    <xf numFmtId="37" fontId="6" fillId="0" borderId="0" xfId="42" applyNumberFormat="1" applyFont="1" applyAlignment="1">
      <alignment/>
    </xf>
    <xf numFmtId="169" fontId="6" fillId="0" borderId="0" xfId="67" applyNumberFormat="1" applyFont="1" applyAlignment="1">
      <alignment/>
    </xf>
    <xf numFmtId="166" fontId="6" fillId="0" borderId="0" xfId="42" applyNumberFormat="1" applyFont="1" applyFill="1" applyBorder="1" applyAlignment="1">
      <alignment/>
    </xf>
    <xf numFmtId="37" fontId="6" fillId="0" borderId="11" xfId="42" applyNumberFormat="1" applyFont="1" applyBorder="1" applyAlignment="1">
      <alignment/>
    </xf>
    <xf numFmtId="169" fontId="6" fillId="0" borderId="11" xfId="67" applyNumberFormat="1" applyFont="1" applyBorder="1" applyAlignment="1">
      <alignment/>
    </xf>
    <xf numFmtId="37" fontId="6" fillId="0" borderId="0" xfId="42" applyNumberFormat="1" applyFont="1" applyBorder="1" applyAlignment="1">
      <alignment/>
    </xf>
    <xf numFmtId="169" fontId="6" fillId="0" borderId="0" xfId="67" applyNumberFormat="1" applyFont="1" applyBorder="1" applyAlignment="1">
      <alignment/>
    </xf>
    <xf numFmtId="37" fontId="6" fillId="0" borderId="12" xfId="42" applyNumberFormat="1" applyFont="1" applyBorder="1" applyAlignment="1">
      <alignment/>
    </xf>
    <xf numFmtId="169" fontId="6" fillId="0" borderId="12" xfId="67" applyNumberFormat="1" applyFont="1" applyBorder="1" applyAlignment="1">
      <alignment/>
    </xf>
    <xf numFmtId="37" fontId="6" fillId="0" borderId="0" xfId="60" applyNumberFormat="1" applyFont="1">
      <alignment/>
      <protection/>
    </xf>
    <xf numFmtId="169" fontId="6" fillId="0" borderId="0" xfId="60" applyNumberFormat="1" applyFont="1">
      <alignment/>
      <protection/>
    </xf>
    <xf numFmtId="166" fontId="6" fillId="0" borderId="0" xfId="42" applyNumberFormat="1" applyFont="1" applyAlignment="1">
      <alignment/>
    </xf>
    <xf numFmtId="166" fontId="6" fillId="0" borderId="0" xfId="42" applyNumberFormat="1" applyFont="1" applyBorder="1" applyAlignment="1">
      <alignment/>
    </xf>
    <xf numFmtId="0" fontId="1" fillId="0" borderId="0" xfId="60" applyFont="1">
      <alignment/>
      <protection/>
    </xf>
    <xf numFmtId="37" fontId="1" fillId="0" borderId="0" xfId="42" applyNumberFormat="1" applyFont="1" applyAlignment="1">
      <alignment/>
    </xf>
    <xf numFmtId="37" fontId="1" fillId="0" borderId="12" xfId="42" applyNumberFormat="1" applyFont="1" applyBorder="1" applyAlignment="1">
      <alignment/>
    </xf>
    <xf numFmtId="169" fontId="1" fillId="0" borderId="12" xfId="67" applyNumberFormat="1" applyFont="1" applyBorder="1" applyAlignment="1">
      <alignment/>
    </xf>
    <xf numFmtId="171" fontId="6" fillId="0" borderId="0" xfId="44" applyNumberFormat="1" applyFont="1" applyAlignment="1">
      <alignment/>
    </xf>
    <xf numFmtId="171" fontId="1" fillId="0" borderId="12" xfId="44" applyNumberFormat="1" applyFont="1" applyBorder="1" applyAlignment="1">
      <alignment/>
    </xf>
    <xf numFmtId="171" fontId="1" fillId="0" borderId="0" xfId="44" applyNumberFormat="1" applyFont="1" applyAlignment="1">
      <alignment/>
    </xf>
    <xf numFmtId="171" fontId="6" fillId="0" borderId="11" xfId="44" applyNumberFormat="1" applyFont="1" applyBorder="1" applyAlignment="1">
      <alignment/>
    </xf>
    <xf numFmtId="0" fontId="6" fillId="0" borderId="0" xfId="57" applyFont="1">
      <alignment/>
      <protection/>
    </xf>
    <xf numFmtId="37" fontId="6" fillId="0" borderId="0" xfId="57" applyNumberFormat="1" applyFont="1">
      <alignment/>
      <protection/>
    </xf>
    <xf numFmtId="170" fontId="6" fillId="0" borderId="0" xfId="57" applyNumberFormat="1" applyFont="1">
      <alignment/>
      <protection/>
    </xf>
    <xf numFmtId="170" fontId="6" fillId="0" borderId="0" xfId="67" applyNumberFormat="1" applyFont="1" applyAlignment="1">
      <alignment/>
    </xf>
    <xf numFmtId="37" fontId="6" fillId="0" borderId="0" xfId="0" applyNumberFormat="1" applyFont="1" applyFill="1" applyAlignment="1">
      <alignment/>
    </xf>
    <xf numFmtId="170" fontId="6" fillId="0" borderId="10" xfId="67" applyNumberFormat="1" applyFont="1" applyBorder="1" applyAlignment="1">
      <alignment/>
    </xf>
    <xf numFmtId="37" fontId="6" fillId="0" borderId="0" xfId="0" applyNumberFormat="1" applyFont="1" applyAlignment="1">
      <alignment/>
    </xf>
    <xf numFmtId="170" fontId="6" fillId="0" borderId="11" xfId="67" applyNumberFormat="1" applyFont="1" applyBorder="1" applyAlignment="1">
      <alignment/>
    </xf>
    <xf numFmtId="170" fontId="6" fillId="0" borderId="0" xfId="67" applyNumberFormat="1" applyFont="1" applyBorder="1" applyAlignment="1">
      <alignment/>
    </xf>
    <xf numFmtId="170" fontId="6" fillId="0" borderId="12" xfId="67" applyNumberFormat="1" applyFont="1" applyBorder="1" applyAlignment="1">
      <alignment/>
    </xf>
    <xf numFmtId="0" fontId="1" fillId="0" borderId="0" xfId="57" applyFont="1">
      <alignment/>
      <protection/>
    </xf>
    <xf numFmtId="37" fontId="1" fillId="0" borderId="0" xfId="57" applyNumberFormat="1" applyFont="1">
      <alignment/>
      <protection/>
    </xf>
    <xf numFmtId="170" fontId="1" fillId="0" borderId="12" xfId="67" applyNumberFormat="1" applyFont="1" applyBorder="1" applyAlignment="1">
      <alignment/>
    </xf>
    <xf numFmtId="171" fontId="6" fillId="0" borderId="11" xfId="44" applyNumberFormat="1" applyFont="1" applyFill="1" applyBorder="1" applyAlignment="1">
      <alignment/>
    </xf>
    <xf numFmtId="171" fontId="1" fillId="0" borderId="0" xfId="44" applyNumberFormat="1" applyFont="1" applyBorder="1" applyAlignment="1">
      <alignment/>
    </xf>
    <xf numFmtId="37" fontId="1" fillId="0" borderId="0" xfId="42" applyNumberFormat="1" applyFont="1" applyBorder="1" applyAlignment="1">
      <alignment/>
    </xf>
    <xf numFmtId="170" fontId="1" fillId="0" borderId="0" xfId="67" applyNumberFormat="1" applyFont="1" applyBorder="1" applyAlignment="1">
      <alignment/>
    </xf>
    <xf numFmtId="171" fontId="6" fillId="0" borderId="0" xfId="44" applyNumberFormat="1" applyFont="1" applyBorder="1" applyAlignment="1">
      <alignment/>
    </xf>
    <xf numFmtId="0" fontId="6" fillId="0" borderId="0" xfId="58" applyFont="1">
      <alignment/>
      <protection/>
    </xf>
    <xf numFmtId="170" fontId="6" fillId="0" borderId="0" xfId="58" applyNumberFormat="1" applyFont="1">
      <alignment/>
      <protection/>
    </xf>
    <xf numFmtId="3" fontId="6" fillId="0" borderId="0" xfId="0" applyNumberFormat="1" applyFont="1" applyAlignment="1">
      <alignment/>
    </xf>
    <xf numFmtId="166" fontId="6" fillId="0" borderId="11" xfId="42" applyNumberFormat="1" applyFont="1" applyBorder="1" applyAlignment="1">
      <alignment/>
    </xf>
    <xf numFmtId="166" fontId="6" fillId="0" borderId="12" xfId="42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0" fontId="1" fillId="0" borderId="0" xfId="58" applyFont="1">
      <alignment/>
      <protection/>
    </xf>
    <xf numFmtId="166" fontId="1" fillId="0" borderId="12" xfId="42" applyNumberFormat="1" applyFont="1" applyBorder="1" applyAlignment="1">
      <alignment/>
    </xf>
    <xf numFmtId="0" fontId="6" fillId="0" borderId="0" xfId="62" applyFont="1">
      <alignment/>
      <protection/>
    </xf>
    <xf numFmtId="0" fontId="1" fillId="0" borderId="0" xfId="62" applyFont="1">
      <alignment/>
      <protection/>
    </xf>
    <xf numFmtId="0" fontId="6" fillId="0" borderId="0" xfId="64" applyFont="1">
      <alignment/>
      <protection/>
    </xf>
    <xf numFmtId="37" fontId="6" fillId="0" borderId="0" xfId="64" applyNumberFormat="1" applyFont="1">
      <alignment/>
      <protection/>
    </xf>
    <xf numFmtId="0" fontId="1" fillId="0" borderId="0" xfId="64" applyFont="1">
      <alignment/>
      <protection/>
    </xf>
    <xf numFmtId="37" fontId="1" fillId="0" borderId="0" xfId="64" applyNumberFormat="1" applyFont="1">
      <alignment/>
      <protection/>
    </xf>
    <xf numFmtId="0" fontId="6" fillId="0" borderId="0" xfId="61" applyFont="1">
      <alignment/>
      <protection/>
    </xf>
    <xf numFmtId="37" fontId="6" fillId="0" borderId="0" xfId="61" applyNumberFormat="1" applyFont="1">
      <alignment/>
      <protection/>
    </xf>
    <xf numFmtId="0" fontId="1" fillId="0" borderId="0" xfId="61" applyFont="1">
      <alignment/>
      <protection/>
    </xf>
    <xf numFmtId="37" fontId="1" fillId="0" borderId="0" xfId="61" applyNumberFormat="1" applyFont="1">
      <alignment/>
      <protection/>
    </xf>
    <xf numFmtId="0" fontId="6" fillId="0" borderId="0" xfId="63" applyFont="1">
      <alignment/>
      <protection/>
    </xf>
    <xf numFmtId="37" fontId="6" fillId="0" borderId="0" xfId="63" applyNumberFormat="1" applyFont="1">
      <alignment/>
      <protection/>
    </xf>
    <xf numFmtId="37" fontId="6" fillId="0" borderId="0" xfId="0" applyNumberFormat="1" applyFont="1" applyBorder="1" applyAlignment="1">
      <alignment/>
    </xf>
    <xf numFmtId="37" fontId="6" fillId="0" borderId="0" xfId="63" applyNumberFormat="1" applyFont="1" applyBorder="1">
      <alignment/>
      <protection/>
    </xf>
    <xf numFmtId="0" fontId="1" fillId="0" borderId="0" xfId="63" applyFont="1">
      <alignment/>
      <protection/>
    </xf>
    <xf numFmtId="37" fontId="1" fillId="0" borderId="0" xfId="63" applyNumberFormat="1" applyFont="1">
      <alignment/>
      <protection/>
    </xf>
    <xf numFmtId="166" fontId="3" fillId="0" borderId="0" xfId="42" applyNumberFormat="1" applyFont="1" applyFill="1" applyAlignment="1">
      <alignment horizontal="center"/>
    </xf>
    <xf numFmtId="166" fontId="3" fillId="0" borderId="0" xfId="42" applyNumberFormat="1" applyFont="1" applyFill="1" applyBorder="1" applyAlignment="1">
      <alignment horizontal="center"/>
    </xf>
    <xf numFmtId="166" fontId="3" fillId="0" borderId="10" xfId="42" applyNumberFormat="1" applyFont="1" applyFill="1" applyBorder="1" applyAlignment="1">
      <alignment horizontal="center"/>
    </xf>
    <xf numFmtId="171" fontId="3" fillId="0" borderId="0" xfId="44" applyNumberFormat="1" applyFont="1" applyFill="1" applyBorder="1" applyAlignment="1">
      <alignment/>
    </xf>
    <xf numFmtId="171" fontId="3" fillId="0" borderId="0" xfId="44" applyNumberFormat="1" applyFont="1" applyFill="1" applyAlignment="1">
      <alignment/>
    </xf>
    <xf numFmtId="171" fontId="5" fillId="0" borderId="0" xfId="44" applyNumberFormat="1" applyFont="1" applyFill="1" applyAlignment="1">
      <alignment/>
    </xf>
    <xf numFmtId="0" fontId="5" fillId="0" borderId="0" xfId="0" applyFont="1" applyFill="1" applyAlignment="1">
      <alignment/>
    </xf>
    <xf numFmtId="171" fontId="5" fillId="0" borderId="12" xfId="44" applyNumberFormat="1" applyFont="1" applyFill="1" applyBorder="1" applyAlignment="1">
      <alignment/>
    </xf>
    <xf numFmtId="171" fontId="5" fillId="0" borderId="0" xfId="44" applyNumberFormat="1" applyFont="1" applyFill="1" applyBorder="1" applyAlignment="1">
      <alignment/>
    </xf>
    <xf numFmtId="166" fontId="0" fillId="0" borderId="0" xfId="42" applyNumberFormat="1" applyFill="1" applyAlignment="1">
      <alignment/>
    </xf>
    <xf numFmtId="0" fontId="6" fillId="0" borderId="0" xfId="0" applyFont="1" applyBorder="1" applyAlignment="1">
      <alignment/>
    </xf>
    <xf numFmtId="166" fontId="0" fillId="0" borderId="0" xfId="42" applyNumberFormat="1" applyFont="1" applyFill="1" applyAlignment="1">
      <alignment/>
    </xf>
    <xf numFmtId="37" fontId="3" fillId="0" borderId="0" xfId="42" applyNumberFormat="1" applyFont="1" applyFill="1" applyAlignment="1">
      <alignment/>
    </xf>
    <xf numFmtId="166" fontId="1" fillId="0" borderId="0" xfId="42" applyNumberFormat="1" applyFon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 Exp Sta Sum" xfId="57"/>
    <cellStyle name="Normal_Ag Ext Div Sum" xfId="58"/>
    <cellStyle name="Normal_All Agency" xfId="59"/>
    <cellStyle name="Normal_Gen Univ Sum" xfId="60"/>
    <cellStyle name="Normal_OKC Sum" xfId="61"/>
    <cellStyle name="Normal_Okm Sum" xfId="62"/>
    <cellStyle name="Normal_Osteo Sum" xfId="63"/>
    <cellStyle name="Normal_Vet Med Sum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="80" zoomScaleNormal="80" zoomScalePageLayoutView="0" workbookViewId="0" topLeftCell="A1">
      <pane xSplit="3" topLeftCell="D1" activePane="topRight" state="frozen"/>
      <selection pane="topLeft" activeCell="F40" sqref="F40"/>
      <selection pane="topRight" activeCell="H23" sqref="H23"/>
    </sheetView>
  </sheetViews>
  <sheetFormatPr defaultColWidth="9.140625" defaultRowHeight="12.75"/>
  <cols>
    <col min="1" max="1" width="1.28515625" style="0" customWidth="1"/>
    <col min="2" max="2" width="1.421875" style="0" customWidth="1"/>
    <col min="3" max="3" width="50.421875" style="0" customWidth="1"/>
    <col min="4" max="4" width="16.57421875" style="3" customWidth="1"/>
    <col min="5" max="5" width="18.140625" style="3" customWidth="1"/>
    <col min="6" max="7" width="16.57421875" style="3" customWidth="1"/>
    <col min="8" max="8" width="17.28125" style="3" customWidth="1"/>
    <col min="9" max="11" width="16.57421875" style="3" customWidth="1"/>
    <col min="12" max="12" width="19.00390625" style="3" customWidth="1"/>
  </cols>
  <sheetData>
    <row r="1" spans="3:11" ht="12.75">
      <c r="C1" s="1"/>
      <c r="D1" s="2"/>
      <c r="E1" s="2"/>
      <c r="F1" s="2"/>
      <c r="G1" s="2"/>
      <c r="H1" s="2"/>
      <c r="I1" s="2"/>
      <c r="J1" s="2"/>
      <c r="K1" s="2"/>
    </row>
    <row r="2" spans="3:13" ht="18"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3:13" ht="18">
      <c r="C3" s="143" t="s">
        <v>126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3:13" ht="18">
      <c r="C4" s="143" t="s">
        <v>135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2" ht="30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3:12" ht="14.25">
      <c r="C6" s="5"/>
      <c r="D6" s="130"/>
      <c r="E6" s="130"/>
      <c r="F6" s="130"/>
      <c r="G6" s="130"/>
      <c r="H6" s="130"/>
      <c r="I6" s="130"/>
      <c r="J6" s="130"/>
      <c r="K6" s="130"/>
      <c r="L6" s="14"/>
    </row>
    <row r="7" spans="3:13" ht="14.25">
      <c r="C7" s="5"/>
      <c r="D7" s="130"/>
      <c r="E7" s="130" t="s">
        <v>2</v>
      </c>
      <c r="F7" s="130" t="s">
        <v>2</v>
      </c>
      <c r="G7" s="130" t="s">
        <v>136</v>
      </c>
      <c r="H7" s="130" t="s">
        <v>3</v>
      </c>
      <c r="I7" s="130" t="s">
        <v>4</v>
      </c>
      <c r="J7" s="130" t="s">
        <v>3</v>
      </c>
      <c r="K7" s="130"/>
      <c r="L7" s="130"/>
      <c r="M7" s="11"/>
    </row>
    <row r="8" spans="3:13" ht="14.25">
      <c r="C8" s="5"/>
      <c r="D8" s="131" t="s">
        <v>5</v>
      </c>
      <c r="E8" s="131" t="s">
        <v>1</v>
      </c>
      <c r="F8" s="131" t="s">
        <v>6</v>
      </c>
      <c r="G8" s="130" t="s">
        <v>138</v>
      </c>
      <c r="H8" s="131" t="s">
        <v>8</v>
      </c>
      <c r="I8" s="131" t="s">
        <v>9</v>
      </c>
      <c r="J8" s="131" t="s">
        <v>10</v>
      </c>
      <c r="K8" s="131" t="s">
        <v>7</v>
      </c>
      <c r="L8" s="131" t="s">
        <v>11</v>
      </c>
      <c r="M8" s="11"/>
    </row>
    <row r="9" spans="1:13" ht="14.25">
      <c r="A9" s="6"/>
      <c r="C9" s="7"/>
      <c r="D9" s="132" t="s">
        <v>12</v>
      </c>
      <c r="E9" s="132" t="s">
        <v>129</v>
      </c>
      <c r="F9" s="132" t="s">
        <v>13</v>
      </c>
      <c r="G9" s="132" t="s">
        <v>137</v>
      </c>
      <c r="H9" s="132" t="s">
        <v>14</v>
      </c>
      <c r="I9" s="132" t="s">
        <v>15</v>
      </c>
      <c r="J9" s="132" t="s">
        <v>16</v>
      </c>
      <c r="K9" s="132" t="s">
        <v>17</v>
      </c>
      <c r="L9" s="132" t="s">
        <v>18</v>
      </c>
      <c r="M9" s="11"/>
    </row>
    <row r="10" spans="1:13" ht="14.25">
      <c r="A10" s="8" t="s">
        <v>19</v>
      </c>
      <c r="B10" s="9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1"/>
    </row>
    <row r="11" spans="1:13" ht="14.25">
      <c r="A11" s="8"/>
      <c r="B11" s="8" t="s">
        <v>20</v>
      </c>
      <c r="C11" s="10"/>
      <c r="D11" s="13"/>
      <c r="E11" s="14"/>
      <c r="F11" s="14"/>
      <c r="G11" s="14"/>
      <c r="H11" s="14"/>
      <c r="I11" s="14"/>
      <c r="J11" s="14"/>
      <c r="K11" s="14"/>
      <c r="L11" s="14"/>
      <c r="M11" s="11"/>
    </row>
    <row r="12" spans="3:13" ht="14.25">
      <c r="C12" s="10" t="s">
        <v>21</v>
      </c>
      <c r="D12" s="133">
        <f>'Gen Univ Sum'!E7</f>
        <v>118822176</v>
      </c>
      <c r="E12" s="134">
        <f>'Ag Exp '!E7</f>
        <v>25861086</v>
      </c>
      <c r="F12" s="134">
        <f>'Coop Ext'!E7</f>
        <v>28260752</v>
      </c>
      <c r="G12" s="134">
        <f>'Okm '!E7</f>
        <v>14038756</v>
      </c>
      <c r="H12" s="134">
        <f>'Vet Med '!E8</f>
        <v>10561605</v>
      </c>
      <c r="I12" s="134">
        <f>'OKC '!E7</f>
        <v>10821528</v>
      </c>
      <c r="J12" s="134">
        <f>CHS!E7</f>
        <v>13721226</v>
      </c>
      <c r="K12" s="134">
        <f>'Tulsa '!E7</f>
        <v>11028277</v>
      </c>
      <c r="L12" s="134">
        <f aca="true" t="shared" si="0" ref="L12:L21">SUM(D12:K12)</f>
        <v>233115406</v>
      </c>
      <c r="M12" s="11"/>
    </row>
    <row r="13" spans="3:13" ht="14.25">
      <c r="C13" s="10" t="s">
        <v>127</v>
      </c>
      <c r="D13" s="13">
        <f>'Gen Univ Sum'!E8</f>
        <v>959568</v>
      </c>
      <c r="E13" s="13">
        <v>0</v>
      </c>
      <c r="F13" s="13">
        <v>0</v>
      </c>
      <c r="G13" s="13">
        <v>120084</v>
      </c>
      <c r="H13" s="13">
        <v>0</v>
      </c>
      <c r="I13" s="13">
        <v>236018</v>
      </c>
      <c r="J13" s="13">
        <v>6680000</v>
      </c>
      <c r="K13" s="13">
        <v>0</v>
      </c>
      <c r="L13" s="14">
        <f t="shared" si="0"/>
        <v>7995670</v>
      </c>
      <c r="M13" s="11"/>
    </row>
    <row r="14" spans="3:13" ht="14.25">
      <c r="C14" s="10" t="s">
        <v>22</v>
      </c>
      <c r="D14" s="13">
        <v>0</v>
      </c>
      <c r="E14" s="14">
        <f>'Ag Exp '!E14</f>
        <v>4179900</v>
      </c>
      <c r="F14" s="14">
        <f>'Coop Ext'!E9</f>
        <v>8591997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f t="shared" si="0"/>
        <v>12771897</v>
      </c>
      <c r="M14" s="11"/>
    </row>
    <row r="15" spans="3:12" s="11" customFormat="1" ht="14.25">
      <c r="C15" s="12" t="s">
        <v>23</v>
      </c>
      <c r="D15" s="13">
        <f>'Gen Univ Sum'!E9</f>
        <v>167966501</v>
      </c>
      <c r="E15" s="14">
        <v>0</v>
      </c>
      <c r="F15" s="14">
        <v>0</v>
      </c>
      <c r="G15" s="14">
        <f>'Okm '!E8</f>
        <v>10881606</v>
      </c>
      <c r="H15" s="14">
        <f>'Vet Med '!E9</f>
        <v>6717462</v>
      </c>
      <c r="I15" s="14">
        <f>'OKC '!E8</f>
        <v>14340477</v>
      </c>
      <c r="J15" s="14">
        <f>CHS!E8</f>
        <v>8360423</v>
      </c>
      <c r="K15" s="14">
        <f>'Tulsa '!E8</f>
        <v>9784999</v>
      </c>
      <c r="L15" s="14">
        <f t="shared" si="0"/>
        <v>218051468</v>
      </c>
    </row>
    <row r="16" spans="3:13" ht="14.25">
      <c r="C16" s="10" t="s">
        <v>24</v>
      </c>
      <c r="D16" s="142">
        <f>'Gen Univ Sum'!E10</f>
        <v>22220443</v>
      </c>
      <c r="E16" s="14">
        <f>'Ag Exp '!E16</f>
        <v>2500000</v>
      </c>
      <c r="F16" s="14">
        <v>0</v>
      </c>
      <c r="G16" s="14">
        <f>'Okm '!E9-G13</f>
        <v>772842</v>
      </c>
      <c r="H16" s="14">
        <f>'Vet Med '!E10</f>
        <v>2828089</v>
      </c>
      <c r="I16" s="14">
        <f>'OKC '!E9-I13</f>
        <v>9600</v>
      </c>
      <c r="J16" s="14">
        <f>CHS!E9-J13</f>
        <v>465912</v>
      </c>
      <c r="K16" s="14">
        <f>'Tulsa '!E9</f>
        <v>15000</v>
      </c>
      <c r="L16" s="14">
        <f t="shared" si="0"/>
        <v>28811886</v>
      </c>
      <c r="M16" s="11"/>
    </row>
    <row r="17" spans="3:13" ht="14.25">
      <c r="C17" s="10" t="s">
        <v>25</v>
      </c>
      <c r="D17" s="13">
        <f>'Gen Univ Sum'!E11</f>
        <v>120776</v>
      </c>
      <c r="E17" s="14">
        <v>0</v>
      </c>
      <c r="F17" s="14">
        <v>0</v>
      </c>
      <c r="G17" s="14">
        <f>'Okm '!E10</f>
        <v>14000</v>
      </c>
      <c r="H17" s="14">
        <f>'Vet Med '!E11</f>
        <v>1310000</v>
      </c>
      <c r="I17" s="14">
        <v>0</v>
      </c>
      <c r="J17" s="14">
        <f>CHS!E10</f>
        <v>20400000</v>
      </c>
      <c r="K17" s="14">
        <v>0</v>
      </c>
      <c r="L17" s="14">
        <f t="shared" si="0"/>
        <v>21844776</v>
      </c>
      <c r="M17" s="11"/>
    </row>
    <row r="18" spans="3:13" ht="14.25">
      <c r="C18" s="10" t="s">
        <v>26</v>
      </c>
      <c r="D18" s="13">
        <f>'Gen Univ Sum'!E12</f>
        <v>4457592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4">
        <f t="shared" si="0"/>
        <v>4457592</v>
      </c>
      <c r="M18" s="11"/>
    </row>
    <row r="19" spans="3:12" s="11" customFormat="1" ht="14.25">
      <c r="C19" s="15" t="s">
        <v>27</v>
      </c>
      <c r="D19" s="13">
        <f>'Gen Univ Sum'!E13</f>
        <v>1970646</v>
      </c>
      <c r="E19" s="14">
        <v>0</v>
      </c>
      <c r="F19" s="14">
        <v>0</v>
      </c>
      <c r="G19" s="14">
        <v>0</v>
      </c>
      <c r="H19" s="14">
        <f>'Vet Med '!E12</f>
        <v>4235000</v>
      </c>
      <c r="I19" s="14">
        <v>0</v>
      </c>
      <c r="J19" s="14">
        <v>0</v>
      </c>
      <c r="K19" s="14">
        <v>0</v>
      </c>
      <c r="L19" s="14">
        <f t="shared" si="0"/>
        <v>6205646</v>
      </c>
    </row>
    <row r="20" spans="3:13" ht="14.25">
      <c r="C20" s="16" t="s">
        <v>28</v>
      </c>
      <c r="D20" s="13">
        <f>'Gen Univ Sum'!E14</f>
        <v>8815942</v>
      </c>
      <c r="E20" s="13">
        <f>'Ag Exp '!E17</f>
        <v>6000000</v>
      </c>
      <c r="F20" s="13">
        <f>'Coop Ext'!E11</f>
        <v>4000000</v>
      </c>
      <c r="G20" s="13">
        <f>'Okm '!E11</f>
        <v>41000</v>
      </c>
      <c r="H20" s="13">
        <f>'Vet Med '!E13</f>
        <v>30000</v>
      </c>
      <c r="I20" s="13">
        <f>'OKC '!E10</f>
        <v>229864</v>
      </c>
      <c r="J20" s="13">
        <f>CHS!E12</f>
        <v>5061943</v>
      </c>
      <c r="K20" s="13">
        <f>'Tulsa '!E10</f>
        <v>735738</v>
      </c>
      <c r="L20" s="13">
        <f t="shared" si="0"/>
        <v>24914487</v>
      </c>
      <c r="M20" s="11"/>
    </row>
    <row r="21" spans="3:13" ht="14.25">
      <c r="C21" s="16" t="s">
        <v>131</v>
      </c>
      <c r="D21" s="17">
        <f>'Gen Univ Sum'!E15</f>
        <v>8566769</v>
      </c>
      <c r="E21" s="17">
        <f>'Ag Exp '!E18</f>
        <v>1885263</v>
      </c>
      <c r="F21" s="17">
        <f>'Coop Ext'!E13</f>
        <v>2065947</v>
      </c>
      <c r="G21" s="17">
        <f>'Okm '!E12</f>
        <v>1016872</v>
      </c>
      <c r="H21" s="17">
        <f>'Vet Med '!E14</f>
        <v>769281</v>
      </c>
      <c r="I21" s="17">
        <f>'OKC '!E11</f>
        <v>771571</v>
      </c>
      <c r="J21" s="17">
        <f>CHS!E13</f>
        <v>989933</v>
      </c>
      <c r="K21" s="17">
        <f>'Tulsa '!E11</f>
        <v>806869</v>
      </c>
      <c r="L21" s="17">
        <f t="shared" si="0"/>
        <v>16872505</v>
      </c>
      <c r="M21" s="11"/>
    </row>
    <row r="22" spans="3:13" ht="14.25">
      <c r="C22" s="10" t="s">
        <v>29</v>
      </c>
      <c r="D22" s="13">
        <f>SUM(D12:D21)</f>
        <v>333900413</v>
      </c>
      <c r="E22" s="13">
        <f aca="true" t="shared" si="1" ref="E22:L22">SUM(E12:E21)</f>
        <v>40426249</v>
      </c>
      <c r="F22" s="13">
        <f t="shared" si="1"/>
        <v>42918696</v>
      </c>
      <c r="G22" s="13">
        <f t="shared" si="1"/>
        <v>26885160</v>
      </c>
      <c r="H22" s="13">
        <f t="shared" si="1"/>
        <v>26451437</v>
      </c>
      <c r="I22" s="13">
        <f>SUM(I12:I21)</f>
        <v>26409058</v>
      </c>
      <c r="J22" s="13">
        <f>SUM(J12:J21)</f>
        <v>55679437</v>
      </c>
      <c r="K22" s="13">
        <f t="shared" si="1"/>
        <v>22370883</v>
      </c>
      <c r="L22" s="13">
        <f t="shared" si="1"/>
        <v>575041333</v>
      </c>
      <c r="M22" s="11"/>
    </row>
    <row r="23" spans="3:13" ht="14.25">
      <c r="C23" s="16"/>
      <c r="D23" s="14"/>
      <c r="E23" s="14"/>
      <c r="F23" s="14"/>
      <c r="G23" s="14"/>
      <c r="H23" s="14"/>
      <c r="I23" s="14"/>
      <c r="J23" s="14"/>
      <c r="K23" s="14"/>
      <c r="L23" s="14"/>
      <c r="M23" s="11"/>
    </row>
    <row r="24" spans="3:13" ht="14.25">
      <c r="C24" s="16" t="s">
        <v>30</v>
      </c>
      <c r="D24" s="17">
        <v>0</v>
      </c>
      <c r="E24" s="17">
        <f>'Ag Exp '!E22</f>
        <v>10000000</v>
      </c>
      <c r="F24" s="17">
        <f>'Coop Ext'!E17</f>
        <v>4000000</v>
      </c>
      <c r="G24" s="17">
        <f>'Okm '!E16</f>
        <v>1108900</v>
      </c>
      <c r="H24" s="17">
        <f>'Vet Med '!E18</f>
        <v>850000</v>
      </c>
      <c r="I24" s="17">
        <f>'OKC '!E15</f>
        <v>0</v>
      </c>
      <c r="J24" s="17">
        <f>CHS!E17</f>
        <v>1460433</v>
      </c>
      <c r="K24" s="17">
        <f>'Tulsa '!E15</f>
        <v>716804</v>
      </c>
      <c r="L24" s="17">
        <f>SUM(D24:K24)</f>
        <v>18136137</v>
      </c>
      <c r="M24" s="11"/>
    </row>
    <row r="25" spans="3:13" s="18" customFormat="1" ht="15.75">
      <c r="C25" s="19" t="s">
        <v>31</v>
      </c>
      <c r="D25" s="135">
        <f aca="true" t="shared" si="2" ref="D25:L25">SUM(D22:D24)</f>
        <v>333900413</v>
      </c>
      <c r="E25" s="135">
        <f t="shared" si="2"/>
        <v>50426249</v>
      </c>
      <c r="F25" s="135">
        <f t="shared" si="2"/>
        <v>46918696</v>
      </c>
      <c r="G25" s="135">
        <f t="shared" si="2"/>
        <v>27994060</v>
      </c>
      <c r="H25" s="135">
        <f t="shared" si="2"/>
        <v>27301437</v>
      </c>
      <c r="I25" s="135">
        <f t="shared" si="2"/>
        <v>26409058</v>
      </c>
      <c r="J25" s="135">
        <f t="shared" si="2"/>
        <v>57139870</v>
      </c>
      <c r="K25" s="135">
        <f>SUM(K22:K24)</f>
        <v>23087687</v>
      </c>
      <c r="L25" s="135">
        <f t="shared" si="2"/>
        <v>593177470</v>
      </c>
      <c r="M25" s="136"/>
    </row>
    <row r="26" spans="3:13" s="52" customFormat="1" ht="14.25">
      <c r="C26" s="16"/>
      <c r="D26" s="14"/>
      <c r="E26" s="14"/>
      <c r="F26" s="14"/>
      <c r="G26" s="14"/>
      <c r="H26" s="14"/>
      <c r="I26" s="14"/>
      <c r="J26" s="14"/>
      <c r="K26" s="14"/>
      <c r="L26" s="13"/>
      <c r="M26" s="53"/>
    </row>
    <row r="27" spans="2:13" s="52" customFormat="1" ht="14.25">
      <c r="B27" s="20"/>
      <c r="C27" s="10" t="s">
        <v>32</v>
      </c>
      <c r="D27" s="13">
        <v>47500000</v>
      </c>
      <c r="E27" s="13">
        <v>17000000</v>
      </c>
      <c r="F27" s="13">
        <v>4005000</v>
      </c>
      <c r="G27" s="13">
        <v>2729038</v>
      </c>
      <c r="H27" s="13">
        <v>11000000</v>
      </c>
      <c r="I27" s="13">
        <v>5239163</v>
      </c>
      <c r="J27" s="13">
        <v>9000000</v>
      </c>
      <c r="K27" s="13">
        <v>60000</v>
      </c>
      <c r="L27" s="14">
        <f>SUM(D27:K27)</f>
        <v>96533201</v>
      </c>
      <c r="M27" s="53"/>
    </row>
    <row r="28" spans="3:12" s="53" customFormat="1" ht="14.25">
      <c r="C28" s="21" t="s">
        <v>33</v>
      </c>
      <c r="D28" s="14">
        <v>160285819</v>
      </c>
      <c r="E28" s="14">
        <v>803232</v>
      </c>
      <c r="F28" s="14">
        <v>1180020</v>
      </c>
      <c r="G28" s="14">
        <v>13377714</v>
      </c>
      <c r="H28" s="14">
        <v>268000</v>
      </c>
      <c r="I28" s="14">
        <v>4164836</v>
      </c>
      <c r="J28" s="14">
        <v>79586202</v>
      </c>
      <c r="K28" s="14">
        <v>1312712</v>
      </c>
      <c r="L28" s="14">
        <f>SUM(D28:K28)</f>
        <v>260978535</v>
      </c>
    </row>
    <row r="29" spans="1:13" s="52" customFormat="1" ht="14.25">
      <c r="A29" s="54"/>
      <c r="C29" s="7" t="s">
        <v>34</v>
      </c>
      <c r="D29" s="14">
        <v>48000000</v>
      </c>
      <c r="E29" s="14">
        <v>0</v>
      </c>
      <c r="F29" s="14">
        <v>0</v>
      </c>
      <c r="G29" s="14">
        <v>6200000</v>
      </c>
      <c r="H29" s="14">
        <v>0</v>
      </c>
      <c r="I29" s="14">
        <v>11300000</v>
      </c>
      <c r="J29" s="14">
        <v>0</v>
      </c>
      <c r="K29" s="14">
        <v>0</v>
      </c>
      <c r="L29" s="14">
        <f>SUM(D29:K29)</f>
        <v>65500000</v>
      </c>
      <c r="M29" s="53"/>
    </row>
    <row r="30" spans="1:13" s="18" customFormat="1" ht="16.5" thickBot="1">
      <c r="A30" s="22"/>
      <c r="B30" s="23"/>
      <c r="C30" s="18" t="s">
        <v>35</v>
      </c>
      <c r="D30" s="137">
        <f aca="true" t="shared" si="3" ref="D30:L30">SUM(D25:D29)</f>
        <v>589686232</v>
      </c>
      <c r="E30" s="137">
        <f t="shared" si="3"/>
        <v>68229481</v>
      </c>
      <c r="F30" s="137">
        <f t="shared" si="3"/>
        <v>52103716</v>
      </c>
      <c r="G30" s="137">
        <f t="shared" si="3"/>
        <v>50300812</v>
      </c>
      <c r="H30" s="137">
        <f t="shared" si="3"/>
        <v>38569437</v>
      </c>
      <c r="I30" s="137">
        <f t="shared" si="3"/>
        <v>47113057</v>
      </c>
      <c r="J30" s="137">
        <f t="shared" si="3"/>
        <v>145726072</v>
      </c>
      <c r="K30" s="137">
        <f t="shared" si="3"/>
        <v>24460399</v>
      </c>
      <c r="L30" s="137">
        <f t="shared" si="3"/>
        <v>1016189206</v>
      </c>
      <c r="M30" s="136"/>
    </row>
    <row r="31" spans="3:13" s="52" customFormat="1" ht="39" customHeight="1" thickTop="1">
      <c r="C31" s="24"/>
      <c r="D31" s="14"/>
      <c r="E31" s="14"/>
      <c r="F31" s="14"/>
      <c r="G31" s="14"/>
      <c r="H31" s="14"/>
      <c r="I31" s="14"/>
      <c r="J31" s="14"/>
      <c r="K31" s="14"/>
      <c r="L31" s="14"/>
      <c r="M31" s="53"/>
    </row>
    <row r="32" spans="1:13" s="52" customFormat="1" ht="14.25">
      <c r="A32" s="55" t="s">
        <v>36</v>
      </c>
      <c r="B32" s="55"/>
      <c r="C32" s="24"/>
      <c r="D32" s="14"/>
      <c r="E32" s="14"/>
      <c r="F32" s="14"/>
      <c r="G32" s="14"/>
      <c r="H32" s="14"/>
      <c r="I32" s="14"/>
      <c r="J32" s="14"/>
      <c r="K32" s="14"/>
      <c r="L32" s="14"/>
      <c r="M32" s="53"/>
    </row>
    <row r="33" spans="1:13" s="52" customFormat="1" ht="14.25">
      <c r="A33" s="55"/>
      <c r="B33" s="55" t="s">
        <v>20</v>
      </c>
      <c r="C33" s="24"/>
      <c r="D33" s="14"/>
      <c r="E33" s="14"/>
      <c r="F33" s="14"/>
      <c r="G33" s="14"/>
      <c r="H33" s="14"/>
      <c r="I33" s="14"/>
      <c r="J33" s="14"/>
      <c r="K33" s="14"/>
      <c r="L33" s="14"/>
      <c r="M33" s="53"/>
    </row>
    <row r="34" spans="3:13" s="52" customFormat="1" ht="14.25">
      <c r="C34" s="24" t="s">
        <v>37</v>
      </c>
      <c r="D34" s="134">
        <f>'Gen Univ Sum'!E42</f>
        <v>131433604</v>
      </c>
      <c r="E34" s="134">
        <v>0</v>
      </c>
      <c r="F34" s="134">
        <v>0</v>
      </c>
      <c r="G34" s="134">
        <f>'Okm '!E38</f>
        <v>13324123</v>
      </c>
      <c r="H34" s="134">
        <f>'Vet Med '!E40</f>
        <v>8561300</v>
      </c>
      <c r="I34" s="134">
        <f>'OKC '!E37</f>
        <v>15075424</v>
      </c>
      <c r="J34" s="134">
        <f>CHS!E39</f>
        <v>34718120</v>
      </c>
      <c r="K34" s="134">
        <f>'Tulsa '!E37</f>
        <v>12040385</v>
      </c>
      <c r="L34" s="134">
        <f aca="true" t="shared" si="4" ref="L34:L42">SUM(D34:K34)</f>
        <v>215152956</v>
      </c>
      <c r="M34" s="53"/>
    </row>
    <row r="35" spans="3:13" s="52" customFormat="1" ht="14.25">
      <c r="C35" s="24" t="s">
        <v>38</v>
      </c>
      <c r="D35" s="14">
        <f>'Gen Univ Sum'!E43</f>
        <v>31376344</v>
      </c>
      <c r="E35" s="14">
        <f>E25</f>
        <v>50426249</v>
      </c>
      <c r="F35" s="14">
        <v>0</v>
      </c>
      <c r="G35" s="14">
        <v>0</v>
      </c>
      <c r="H35" s="14">
        <f>'Vet Med '!E41</f>
        <v>4942808</v>
      </c>
      <c r="I35" s="14">
        <v>0</v>
      </c>
      <c r="J35" s="14">
        <f>CHS!E40</f>
        <v>2650990</v>
      </c>
      <c r="K35" s="14">
        <f>'Tulsa '!E38</f>
        <v>418352</v>
      </c>
      <c r="L35" s="14">
        <f t="shared" si="4"/>
        <v>89814743</v>
      </c>
      <c r="M35" s="53"/>
    </row>
    <row r="36" spans="3:13" s="52" customFormat="1" ht="14.25">
      <c r="C36" s="24" t="s">
        <v>39</v>
      </c>
      <c r="D36" s="14">
        <f>'Gen Univ Sum'!E44</f>
        <v>4634859</v>
      </c>
      <c r="E36" s="14">
        <v>0</v>
      </c>
      <c r="F36" s="14">
        <v>46918696</v>
      </c>
      <c r="G36" s="14">
        <v>0</v>
      </c>
      <c r="H36" s="14">
        <f>'Vet Med '!E42</f>
        <v>8639860</v>
      </c>
      <c r="I36" s="14">
        <v>0</v>
      </c>
      <c r="J36" s="14">
        <f>CHS!E41</f>
        <v>5323800</v>
      </c>
      <c r="K36" s="14">
        <f>'Tulsa '!E39</f>
        <v>120687</v>
      </c>
      <c r="L36" s="14">
        <f t="shared" si="4"/>
        <v>65637902</v>
      </c>
      <c r="M36" s="53"/>
    </row>
    <row r="37" spans="3:13" s="52" customFormat="1" ht="14.25">
      <c r="C37" s="24" t="s">
        <v>40</v>
      </c>
      <c r="D37" s="14">
        <f>'Gen Univ Sum'!E45</f>
        <v>14278759</v>
      </c>
      <c r="E37" s="14">
        <v>0</v>
      </c>
      <c r="F37" s="14">
        <v>0</v>
      </c>
      <c r="G37" s="14">
        <f>'Okm '!E39</f>
        <v>925263</v>
      </c>
      <c r="H37" s="14">
        <v>0</v>
      </c>
      <c r="I37" s="14">
        <f>'OKC '!E38</f>
        <v>597381</v>
      </c>
      <c r="J37" s="14">
        <f>CHS!E42</f>
        <v>1085546</v>
      </c>
      <c r="K37" s="14">
        <f>'Tulsa '!E40</f>
        <v>1285487</v>
      </c>
      <c r="L37" s="14">
        <f t="shared" si="4"/>
        <v>18172436</v>
      </c>
      <c r="M37" s="53"/>
    </row>
    <row r="38" spans="3:13" s="52" customFormat="1" ht="14.25">
      <c r="C38" s="24" t="s">
        <v>41</v>
      </c>
      <c r="D38" s="14">
        <f>'Gen Univ Sum'!E46</f>
        <v>40679663</v>
      </c>
      <c r="E38" s="14">
        <v>0</v>
      </c>
      <c r="F38" s="14">
        <v>0</v>
      </c>
      <c r="G38" s="14">
        <f>'Okm '!E40</f>
        <v>2961744</v>
      </c>
      <c r="H38" s="14">
        <f>'Vet Med '!E43</f>
        <v>1468372</v>
      </c>
      <c r="I38" s="14">
        <f>'OKC '!E39</f>
        <v>989578</v>
      </c>
      <c r="J38" s="14">
        <f>CHS!E43</f>
        <v>2666515</v>
      </c>
      <c r="K38" s="14">
        <f>'Tulsa '!E41</f>
        <v>895504</v>
      </c>
      <c r="L38" s="14">
        <f t="shared" si="4"/>
        <v>49661376</v>
      </c>
      <c r="M38" s="53"/>
    </row>
    <row r="39" spans="3:13" s="52" customFormat="1" ht="14.25">
      <c r="C39" s="24" t="s">
        <v>42</v>
      </c>
      <c r="D39" s="14">
        <f>'Gen Univ Sum'!E47</f>
        <v>17726849</v>
      </c>
      <c r="E39" s="14">
        <v>0</v>
      </c>
      <c r="F39" s="14">
        <v>0</v>
      </c>
      <c r="G39" s="14">
        <f>'Okm '!E41</f>
        <v>1765511</v>
      </c>
      <c r="H39" s="14">
        <f>'Vet Med '!E44</f>
        <v>119867</v>
      </c>
      <c r="I39" s="14">
        <f>'OKC '!E40</f>
        <v>2411403</v>
      </c>
      <c r="J39" s="14">
        <f>CHS!E44</f>
        <v>877219</v>
      </c>
      <c r="K39" s="14">
        <f>'Tulsa '!E42</f>
        <v>1986473</v>
      </c>
      <c r="L39" s="14">
        <f t="shared" si="4"/>
        <v>24887322</v>
      </c>
      <c r="M39" s="53"/>
    </row>
    <row r="40" spans="3:13" s="52" customFormat="1" ht="14.25">
      <c r="C40" s="24" t="s">
        <v>43</v>
      </c>
      <c r="D40" s="14">
        <f>'Gen Univ Sum'!E48</f>
        <v>15392697</v>
      </c>
      <c r="E40" s="14">
        <v>0</v>
      </c>
      <c r="F40" s="14">
        <v>0</v>
      </c>
      <c r="G40" s="14">
        <f>'Okm '!E42</f>
        <v>2677945</v>
      </c>
      <c r="H40" s="14">
        <f>'Vet Med '!E45</f>
        <v>625037</v>
      </c>
      <c r="I40" s="14">
        <f>'OKC '!E41</f>
        <v>3046791</v>
      </c>
      <c r="J40" s="14">
        <f>CHS!E45</f>
        <v>4891638</v>
      </c>
      <c r="K40" s="14">
        <f>'Tulsa '!E43</f>
        <v>2684191</v>
      </c>
      <c r="L40" s="14">
        <f t="shared" si="4"/>
        <v>29318299</v>
      </c>
      <c r="M40" s="53"/>
    </row>
    <row r="41" spans="3:13" s="52" customFormat="1" ht="14.25">
      <c r="C41" s="24" t="s">
        <v>44</v>
      </c>
      <c r="D41" s="14">
        <f>'Gen Univ Sum'!E49</f>
        <v>34942793</v>
      </c>
      <c r="E41" s="13">
        <v>0</v>
      </c>
      <c r="F41" s="13">
        <v>0</v>
      </c>
      <c r="G41" s="14">
        <f>'Okm '!E43</f>
        <v>4539474</v>
      </c>
      <c r="H41" s="14">
        <f>'Vet Med '!E46</f>
        <v>2914193</v>
      </c>
      <c r="I41" s="13">
        <f>'OKC '!E42</f>
        <v>3448481</v>
      </c>
      <c r="J41" s="13">
        <f>CHS!E46</f>
        <v>4666042</v>
      </c>
      <c r="K41" s="13">
        <f>'Tulsa '!E44</f>
        <v>3331608</v>
      </c>
      <c r="L41" s="14">
        <f t="shared" si="4"/>
        <v>53842591</v>
      </c>
      <c r="M41" s="53"/>
    </row>
    <row r="42" spans="3:13" s="52" customFormat="1" ht="14.25">
      <c r="C42" s="10" t="s">
        <v>45</v>
      </c>
      <c r="D42" s="17">
        <f>'Gen Univ Sum'!E50</f>
        <v>43434845</v>
      </c>
      <c r="E42" s="17">
        <v>0</v>
      </c>
      <c r="F42" s="17">
        <v>0</v>
      </c>
      <c r="G42" s="17">
        <f>'Okm '!E44</f>
        <v>1800000</v>
      </c>
      <c r="H42" s="17">
        <f>'Vet Med '!E47</f>
        <v>30000</v>
      </c>
      <c r="I42" s="17">
        <f>'OKC '!E43</f>
        <v>840000</v>
      </c>
      <c r="J42" s="17">
        <f>CHS!E47</f>
        <v>260000</v>
      </c>
      <c r="K42" s="17">
        <f>'Tulsa '!E45</f>
        <v>325000</v>
      </c>
      <c r="L42" s="17">
        <f t="shared" si="4"/>
        <v>46689845</v>
      </c>
      <c r="M42" s="53"/>
    </row>
    <row r="43" spans="3:13" s="18" customFormat="1" ht="15.75">
      <c r="C43" s="19" t="s">
        <v>31</v>
      </c>
      <c r="D43" s="138">
        <f aca="true" t="shared" si="5" ref="D43:L43">SUM(D34:D42)</f>
        <v>333900413</v>
      </c>
      <c r="E43" s="138">
        <f t="shared" si="5"/>
        <v>50426249</v>
      </c>
      <c r="F43" s="138">
        <f t="shared" si="5"/>
        <v>46918696</v>
      </c>
      <c r="G43" s="138">
        <f t="shared" si="5"/>
        <v>27994060</v>
      </c>
      <c r="H43" s="138">
        <f t="shared" si="5"/>
        <v>27301437</v>
      </c>
      <c r="I43" s="138">
        <f t="shared" si="5"/>
        <v>26409058</v>
      </c>
      <c r="J43" s="138">
        <f t="shared" si="5"/>
        <v>57139870</v>
      </c>
      <c r="K43" s="138">
        <f t="shared" si="5"/>
        <v>23087687</v>
      </c>
      <c r="L43" s="138">
        <f t="shared" si="5"/>
        <v>593177470</v>
      </c>
      <c r="M43" s="136"/>
    </row>
    <row r="44" spans="3:13" s="52" customFormat="1" ht="14.25">
      <c r="C44" s="16"/>
      <c r="D44" s="13"/>
      <c r="E44" s="13"/>
      <c r="F44" s="13"/>
      <c r="G44" s="13"/>
      <c r="H44" s="13"/>
      <c r="I44" s="13"/>
      <c r="J44" s="13"/>
      <c r="K44" s="13"/>
      <c r="L44" s="13"/>
      <c r="M44" s="53"/>
    </row>
    <row r="45" spans="3:13" s="52" customFormat="1" ht="14.25">
      <c r="C45" s="10" t="s">
        <v>32</v>
      </c>
      <c r="D45" s="13">
        <f aca="true" t="shared" si="6" ref="D45:K47">D27</f>
        <v>47500000</v>
      </c>
      <c r="E45" s="13">
        <f t="shared" si="6"/>
        <v>17000000</v>
      </c>
      <c r="F45" s="13">
        <f t="shared" si="6"/>
        <v>4005000</v>
      </c>
      <c r="G45" s="13">
        <f t="shared" si="6"/>
        <v>2729038</v>
      </c>
      <c r="H45" s="13">
        <f t="shared" si="6"/>
        <v>11000000</v>
      </c>
      <c r="I45" s="13">
        <f>I27</f>
        <v>5239163</v>
      </c>
      <c r="J45" s="13">
        <f t="shared" si="6"/>
        <v>9000000</v>
      </c>
      <c r="K45" s="13">
        <f t="shared" si="6"/>
        <v>60000</v>
      </c>
      <c r="L45" s="14">
        <f>SUM(D45:K45)</f>
        <v>96533201</v>
      </c>
      <c r="M45" s="53"/>
    </row>
    <row r="46" spans="3:13" s="52" customFormat="1" ht="14.25">
      <c r="C46" s="7" t="s">
        <v>33</v>
      </c>
      <c r="D46" s="13">
        <f t="shared" si="6"/>
        <v>160285819</v>
      </c>
      <c r="E46" s="13">
        <f t="shared" si="6"/>
        <v>803232</v>
      </c>
      <c r="F46" s="13">
        <f t="shared" si="6"/>
        <v>1180020</v>
      </c>
      <c r="G46" s="13">
        <f t="shared" si="6"/>
        <v>13377714</v>
      </c>
      <c r="H46" s="13">
        <f t="shared" si="6"/>
        <v>268000</v>
      </c>
      <c r="I46" s="13">
        <f>I28</f>
        <v>4164836</v>
      </c>
      <c r="J46" s="13">
        <f t="shared" si="6"/>
        <v>79586202</v>
      </c>
      <c r="K46" s="13">
        <f t="shared" si="6"/>
        <v>1312712</v>
      </c>
      <c r="L46" s="14">
        <f>SUM(D46:K46)</f>
        <v>260978535</v>
      </c>
      <c r="M46" s="53"/>
    </row>
    <row r="47" spans="3:13" s="52" customFormat="1" ht="14.25">
      <c r="C47" s="7" t="s">
        <v>34</v>
      </c>
      <c r="D47" s="13">
        <f t="shared" si="6"/>
        <v>48000000</v>
      </c>
      <c r="E47" s="13">
        <f t="shared" si="6"/>
        <v>0</v>
      </c>
      <c r="F47" s="13">
        <f t="shared" si="6"/>
        <v>0</v>
      </c>
      <c r="G47" s="13">
        <f t="shared" si="6"/>
        <v>6200000</v>
      </c>
      <c r="H47" s="13">
        <f t="shared" si="6"/>
        <v>0</v>
      </c>
      <c r="I47" s="13">
        <f t="shared" si="6"/>
        <v>11300000</v>
      </c>
      <c r="J47" s="13">
        <f t="shared" si="6"/>
        <v>0</v>
      </c>
      <c r="K47" s="13">
        <f t="shared" si="6"/>
        <v>0</v>
      </c>
      <c r="L47" s="14">
        <f>SUM(D47:K47)</f>
        <v>65500000</v>
      </c>
      <c r="M47" s="53"/>
    </row>
    <row r="48" spans="3:13" s="18" customFormat="1" ht="16.5" thickBot="1">
      <c r="C48" s="18" t="s">
        <v>46</v>
      </c>
      <c r="D48" s="137">
        <f aca="true" t="shared" si="7" ref="D48:L48">SUM(D43:D47)</f>
        <v>589686232</v>
      </c>
      <c r="E48" s="137">
        <f t="shared" si="7"/>
        <v>68229481</v>
      </c>
      <c r="F48" s="137">
        <f t="shared" si="7"/>
        <v>52103716</v>
      </c>
      <c r="G48" s="137">
        <f t="shared" si="7"/>
        <v>50300812</v>
      </c>
      <c r="H48" s="137">
        <f t="shared" si="7"/>
        <v>38569437</v>
      </c>
      <c r="I48" s="137">
        <f t="shared" si="7"/>
        <v>47113057</v>
      </c>
      <c r="J48" s="137">
        <f t="shared" si="7"/>
        <v>145726072</v>
      </c>
      <c r="K48" s="137">
        <f t="shared" si="7"/>
        <v>24460399</v>
      </c>
      <c r="L48" s="137">
        <f t="shared" si="7"/>
        <v>1016189206</v>
      </c>
      <c r="M48" s="136"/>
    </row>
    <row r="49" spans="3:13" s="52" customFormat="1" ht="15" thickTop="1">
      <c r="C49" s="7"/>
      <c r="D49" s="14"/>
      <c r="E49" s="14"/>
      <c r="F49" s="14"/>
      <c r="G49" s="14"/>
      <c r="H49" s="14"/>
      <c r="I49" s="14"/>
      <c r="J49" s="14"/>
      <c r="K49" s="14"/>
      <c r="L49" s="14"/>
      <c r="M49" s="53"/>
    </row>
    <row r="50" spans="3:13" ht="14.25">
      <c r="C50" s="7"/>
      <c r="D50" s="14"/>
      <c r="E50" s="14"/>
      <c r="F50" s="14"/>
      <c r="G50" s="14"/>
      <c r="H50" s="14"/>
      <c r="I50" s="14"/>
      <c r="J50" s="14"/>
      <c r="K50" s="14"/>
      <c r="L50" s="14"/>
      <c r="M50" s="11"/>
    </row>
    <row r="51" spans="3:13" ht="14.25">
      <c r="C51" s="7"/>
      <c r="D51" s="14">
        <f aca="true" t="shared" si="8" ref="D51:L51">D30-D48</f>
        <v>0</v>
      </c>
      <c r="E51" s="14">
        <f>E30-E48</f>
        <v>0</v>
      </c>
      <c r="F51" s="14">
        <f t="shared" si="8"/>
        <v>0</v>
      </c>
      <c r="G51" s="14">
        <f t="shared" si="8"/>
        <v>0</v>
      </c>
      <c r="H51" s="14">
        <f>H30-H48</f>
        <v>0</v>
      </c>
      <c r="I51" s="14">
        <f t="shared" si="8"/>
        <v>0</v>
      </c>
      <c r="J51" s="14">
        <f t="shared" si="8"/>
        <v>0</v>
      </c>
      <c r="K51" s="14">
        <f t="shared" si="8"/>
        <v>0</v>
      </c>
      <c r="L51" s="14">
        <f t="shared" si="8"/>
        <v>0</v>
      </c>
      <c r="M51" s="11"/>
    </row>
    <row r="52" spans="3:13" ht="14.25">
      <c r="C52" s="7"/>
      <c r="D52" s="14"/>
      <c r="E52" s="14"/>
      <c r="F52" s="14"/>
      <c r="G52" s="14"/>
      <c r="H52" s="14"/>
      <c r="I52" s="14"/>
      <c r="J52" s="14"/>
      <c r="K52" s="14"/>
      <c r="L52" s="14"/>
      <c r="M52" s="11"/>
    </row>
    <row r="53" spans="4:13" ht="12.75">
      <c r="D53" s="139"/>
      <c r="E53" s="139"/>
      <c r="F53" s="139"/>
      <c r="G53" s="139"/>
      <c r="H53" s="139"/>
      <c r="I53" s="139"/>
      <c r="J53" s="139"/>
      <c r="K53" s="139"/>
      <c r="L53" s="139"/>
      <c r="M53" s="11"/>
    </row>
    <row r="54" spans="4:13" ht="12.75">
      <c r="D54" s="139"/>
      <c r="E54" s="139"/>
      <c r="F54" s="139"/>
      <c r="G54" s="139"/>
      <c r="H54" s="139"/>
      <c r="I54" s="139"/>
      <c r="J54" s="139"/>
      <c r="K54" s="139"/>
      <c r="L54" s="139"/>
      <c r="M54" s="11"/>
    </row>
    <row r="55" spans="4:13" ht="12.75">
      <c r="D55" s="139"/>
      <c r="E55" s="139"/>
      <c r="F55" s="139"/>
      <c r="G55" s="139"/>
      <c r="H55" s="139"/>
      <c r="I55" s="139"/>
      <c r="J55" s="139"/>
      <c r="K55" s="139"/>
      <c r="L55" s="139"/>
      <c r="M55" s="11"/>
    </row>
    <row r="56" spans="4:13" ht="12.75">
      <c r="D56" s="139"/>
      <c r="E56" s="139"/>
      <c r="F56" s="139"/>
      <c r="G56" s="139"/>
      <c r="H56" s="139"/>
      <c r="I56" s="139"/>
      <c r="J56" s="139"/>
      <c r="K56" s="139"/>
      <c r="L56" s="139"/>
      <c r="M56" s="11"/>
    </row>
    <row r="57" spans="4:13" ht="12.75">
      <c r="D57" s="139"/>
      <c r="E57" s="139"/>
      <c r="F57" s="139"/>
      <c r="G57" s="139"/>
      <c r="H57" s="139"/>
      <c r="I57" s="139"/>
      <c r="J57" s="139"/>
      <c r="K57" s="139"/>
      <c r="L57" s="139"/>
      <c r="M57" s="11"/>
    </row>
    <row r="58" spans="4:13" ht="12.75">
      <c r="D58" s="139"/>
      <c r="E58" s="139"/>
      <c r="F58" s="139"/>
      <c r="G58" s="139"/>
      <c r="H58" s="139"/>
      <c r="I58" s="139"/>
      <c r="J58" s="139"/>
      <c r="K58" s="139"/>
      <c r="L58" s="139"/>
      <c r="M58" s="11"/>
    </row>
    <row r="59" spans="4:13" ht="12.75">
      <c r="D59" s="139"/>
      <c r="E59" s="139"/>
      <c r="F59" s="139"/>
      <c r="G59" s="139"/>
      <c r="H59" s="139"/>
      <c r="I59" s="139"/>
      <c r="J59" s="139"/>
      <c r="K59" s="139"/>
      <c r="L59" s="139"/>
      <c r="M59" s="11"/>
    </row>
    <row r="60" spans="4:13" ht="12.75">
      <c r="D60" s="139"/>
      <c r="E60" s="139"/>
      <c r="F60" s="139"/>
      <c r="G60" s="139"/>
      <c r="H60" s="139"/>
      <c r="I60" s="139"/>
      <c r="J60" s="139"/>
      <c r="K60" s="139"/>
      <c r="L60" s="139"/>
      <c r="M60" s="11"/>
    </row>
    <row r="61" spans="4:13" ht="12.75">
      <c r="D61" s="139"/>
      <c r="E61" s="139"/>
      <c r="F61" s="139"/>
      <c r="G61" s="139"/>
      <c r="H61" s="139"/>
      <c r="I61" s="139"/>
      <c r="J61" s="139"/>
      <c r="K61" s="139"/>
      <c r="L61" s="139"/>
      <c r="M61" s="11"/>
    </row>
    <row r="62" spans="4:13" ht="12.75">
      <c r="D62" s="139"/>
      <c r="E62" s="139"/>
      <c r="F62" s="139"/>
      <c r="G62" s="139"/>
      <c r="H62" s="139"/>
      <c r="I62" s="139"/>
      <c r="J62" s="139"/>
      <c r="K62" s="139"/>
      <c r="L62" s="139"/>
      <c r="M62" s="11"/>
    </row>
    <row r="63" spans="4:13" ht="12.75">
      <c r="D63" s="139"/>
      <c r="E63" s="139"/>
      <c r="F63" s="139"/>
      <c r="G63" s="139"/>
      <c r="H63" s="139"/>
      <c r="I63" s="139"/>
      <c r="J63" s="139"/>
      <c r="K63" s="139"/>
      <c r="L63" s="139"/>
      <c r="M63" s="11"/>
    </row>
    <row r="64" spans="4:13" ht="12.75">
      <c r="D64" s="139"/>
      <c r="E64" s="139"/>
      <c r="F64" s="139"/>
      <c r="G64" s="139"/>
      <c r="H64" s="139"/>
      <c r="I64" s="139"/>
      <c r="J64" s="139"/>
      <c r="K64" s="139"/>
      <c r="L64" s="139"/>
      <c r="M64" s="11"/>
    </row>
    <row r="65" spans="4:13" ht="12.75">
      <c r="D65" s="139"/>
      <c r="E65" s="139"/>
      <c r="F65" s="139"/>
      <c r="G65" s="139"/>
      <c r="H65" s="139"/>
      <c r="I65" s="139"/>
      <c r="J65" s="139"/>
      <c r="K65" s="139"/>
      <c r="L65" s="139"/>
      <c r="M65" s="11"/>
    </row>
    <row r="66" spans="4:13" ht="12.75">
      <c r="D66" s="141"/>
      <c r="E66" s="139"/>
      <c r="F66" s="139"/>
      <c r="G66" s="139"/>
      <c r="H66" s="139"/>
      <c r="I66" s="139"/>
      <c r="J66" s="139"/>
      <c r="K66" s="139"/>
      <c r="L66" s="139"/>
      <c r="M66" s="11"/>
    </row>
    <row r="67" spans="4:13" ht="12.75">
      <c r="D67" s="139"/>
      <c r="E67" s="139"/>
      <c r="F67" s="139"/>
      <c r="G67" s="139"/>
      <c r="H67" s="139"/>
      <c r="I67" s="139"/>
      <c r="J67" s="139"/>
      <c r="K67" s="139"/>
      <c r="L67" s="139"/>
      <c r="M67" s="11"/>
    </row>
    <row r="68" spans="4:13" ht="12.75">
      <c r="D68" s="139"/>
      <c r="E68" s="139"/>
      <c r="F68" s="139"/>
      <c r="G68" s="139"/>
      <c r="H68" s="139"/>
      <c r="I68" s="139"/>
      <c r="J68" s="139"/>
      <c r="K68" s="139"/>
      <c r="L68" s="139"/>
      <c r="M68" s="11"/>
    </row>
    <row r="69" spans="4:13" ht="12.75">
      <c r="D69" s="139"/>
      <c r="E69" s="139"/>
      <c r="F69" s="139"/>
      <c r="G69" s="139"/>
      <c r="H69" s="139"/>
      <c r="I69" s="139"/>
      <c r="J69" s="139"/>
      <c r="K69" s="139"/>
      <c r="L69" s="139"/>
      <c r="M69" s="11"/>
    </row>
    <row r="70" spans="4:13" ht="12.75">
      <c r="D70" s="139"/>
      <c r="E70" s="139"/>
      <c r="F70" s="139"/>
      <c r="G70" s="139"/>
      <c r="H70" s="139"/>
      <c r="I70" s="139"/>
      <c r="J70" s="139"/>
      <c r="K70" s="139"/>
      <c r="L70" s="139"/>
      <c r="M70" s="11"/>
    </row>
    <row r="71" spans="4:13" ht="12.75">
      <c r="D71" s="139"/>
      <c r="E71" s="139"/>
      <c r="F71" s="139"/>
      <c r="G71" s="139"/>
      <c r="H71" s="139"/>
      <c r="I71" s="139"/>
      <c r="J71" s="139"/>
      <c r="K71" s="139"/>
      <c r="L71" s="139"/>
      <c r="M71" s="11"/>
    </row>
    <row r="72" spans="4:13" ht="12.75">
      <c r="D72" s="139"/>
      <c r="E72" s="139"/>
      <c r="F72" s="139"/>
      <c r="G72" s="139"/>
      <c r="H72" s="139"/>
      <c r="I72" s="139"/>
      <c r="J72" s="139"/>
      <c r="K72" s="139"/>
      <c r="L72" s="139"/>
      <c r="M72" s="11"/>
    </row>
    <row r="73" spans="4:13" ht="12.75">
      <c r="D73" s="139"/>
      <c r="E73" s="139"/>
      <c r="F73" s="139"/>
      <c r="G73" s="139"/>
      <c r="H73" s="139"/>
      <c r="I73" s="139"/>
      <c r="J73" s="139"/>
      <c r="K73" s="139"/>
      <c r="L73" s="139"/>
      <c r="M73" s="11"/>
    </row>
    <row r="74" spans="4:13" ht="12.75">
      <c r="D74" s="139"/>
      <c r="E74" s="139"/>
      <c r="F74" s="139"/>
      <c r="G74" s="139"/>
      <c r="H74" s="139"/>
      <c r="I74" s="139"/>
      <c r="J74" s="139"/>
      <c r="K74" s="139"/>
      <c r="L74" s="139"/>
      <c r="M74" s="11"/>
    </row>
    <row r="75" spans="4:13" ht="12.75">
      <c r="D75" s="139"/>
      <c r="E75" s="139"/>
      <c r="F75" s="139"/>
      <c r="G75" s="139"/>
      <c r="H75" s="139"/>
      <c r="I75" s="139"/>
      <c r="J75" s="139"/>
      <c r="K75" s="139"/>
      <c r="L75" s="139"/>
      <c r="M75" s="11"/>
    </row>
    <row r="76" spans="4:13" ht="12.75">
      <c r="D76" s="139"/>
      <c r="E76" s="139"/>
      <c r="F76" s="139"/>
      <c r="G76" s="139"/>
      <c r="H76" s="139"/>
      <c r="I76" s="139"/>
      <c r="J76" s="139"/>
      <c r="K76" s="139"/>
      <c r="L76" s="139"/>
      <c r="M76" s="11"/>
    </row>
    <row r="77" spans="4:13" ht="12.75">
      <c r="D77" s="139"/>
      <c r="E77" s="139"/>
      <c r="F77" s="139"/>
      <c r="G77" s="139"/>
      <c r="H77" s="139"/>
      <c r="I77" s="139"/>
      <c r="J77" s="139"/>
      <c r="K77" s="139"/>
      <c r="L77" s="139"/>
      <c r="M77" s="11"/>
    </row>
    <row r="78" spans="4:13" ht="12.75">
      <c r="D78" s="139"/>
      <c r="E78" s="139"/>
      <c r="F78" s="139"/>
      <c r="G78" s="139"/>
      <c r="H78" s="139"/>
      <c r="I78" s="139"/>
      <c r="J78" s="139"/>
      <c r="K78" s="139"/>
      <c r="L78" s="139"/>
      <c r="M78" s="11"/>
    </row>
    <row r="79" spans="4:13" ht="12.75">
      <c r="D79" s="139"/>
      <c r="E79" s="139"/>
      <c r="F79" s="139"/>
      <c r="G79" s="139"/>
      <c r="H79" s="139"/>
      <c r="I79" s="139"/>
      <c r="J79" s="139"/>
      <c r="K79" s="139"/>
      <c r="L79" s="139"/>
      <c r="M79" s="11"/>
    </row>
  </sheetData>
  <sheetProtection/>
  <mergeCells count="3">
    <mergeCell ref="C2:M2"/>
    <mergeCell ref="C3:M3"/>
    <mergeCell ref="C4:M4"/>
  </mergeCells>
  <printOptions horizontalCentered="1"/>
  <pageMargins left="0.22" right="0.27" top="0.73" bottom="0.56" header="0.34" footer="0.21"/>
  <pageSetup fitToHeight="1" fitToWidth="1" horizontalDpi="300" verticalDpi="300" orientation="landscape" scale="63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="85" zoomScaleNormal="85" zoomScalePageLayoutView="0" workbookViewId="0" topLeftCell="A1">
      <selection activeCell="E46" sqref="E46"/>
    </sheetView>
  </sheetViews>
  <sheetFormatPr defaultColWidth="9.140625" defaultRowHeight="12.75"/>
  <cols>
    <col min="1" max="1" width="54.8515625" style="60" customWidth="1"/>
    <col min="2" max="2" width="8.7109375" style="60" customWidth="1"/>
    <col min="3" max="3" width="20.7109375" style="67" customWidth="1"/>
    <col min="4" max="4" width="9.140625" style="67" customWidth="1"/>
    <col min="5" max="5" width="20.8515625" style="67" customWidth="1"/>
    <col min="6" max="6" width="9.140625" style="67" customWidth="1"/>
    <col min="7" max="7" width="16.00390625" style="67" hidden="1" customWidth="1"/>
    <col min="8" max="8" width="0" style="60" hidden="1" customWidth="1"/>
    <col min="9" max="9" width="16.7109375" style="68" customWidth="1"/>
    <col min="10" max="10" width="10.8515625" style="60" customWidth="1"/>
    <col min="11" max="16384" width="9.140625" style="60" customWidth="1"/>
  </cols>
  <sheetData>
    <row r="1" spans="1:9" ht="90" customHeight="1">
      <c r="A1" s="56"/>
      <c r="B1" s="57"/>
      <c r="C1" s="58"/>
      <c r="D1" s="58"/>
      <c r="E1" s="58"/>
      <c r="F1" s="58"/>
      <c r="G1" s="58"/>
      <c r="H1" s="57"/>
      <c r="I1" s="59"/>
    </row>
    <row r="2" spans="3:9" s="61" customFormat="1" ht="15.75">
      <c r="C2" s="62"/>
      <c r="D2" s="62"/>
      <c r="E2" s="62"/>
      <c r="F2" s="62"/>
      <c r="G2" s="63" t="s">
        <v>47</v>
      </c>
      <c r="I2" s="64" t="s">
        <v>124</v>
      </c>
    </row>
    <row r="3" spans="3:9" s="61" customFormat="1" ht="15.75">
      <c r="C3" s="63" t="s">
        <v>130</v>
      </c>
      <c r="D3" s="62"/>
      <c r="E3" s="63" t="s">
        <v>134</v>
      </c>
      <c r="F3" s="62"/>
      <c r="G3" s="63" t="s">
        <v>49</v>
      </c>
      <c r="I3" s="64" t="s">
        <v>49</v>
      </c>
    </row>
    <row r="4" spans="3:9" s="61" customFormat="1" ht="15.75">
      <c r="C4" s="65" t="s">
        <v>48</v>
      </c>
      <c r="D4" s="62"/>
      <c r="E4" s="65" t="s">
        <v>48</v>
      </c>
      <c r="F4" s="62"/>
      <c r="G4" s="65" t="s">
        <v>50</v>
      </c>
      <c r="I4" s="66" t="s">
        <v>50</v>
      </c>
    </row>
    <row r="5" ht="15">
      <c r="A5" s="60" t="s">
        <v>51</v>
      </c>
    </row>
    <row r="6" ht="6.75" customHeight="1"/>
    <row r="7" spans="1:9" ht="15">
      <c r="A7" s="60" t="s">
        <v>52</v>
      </c>
      <c r="C7" s="84">
        <v>123808252</v>
      </c>
      <c r="D7" s="84"/>
      <c r="E7" s="84">
        <v>118822176</v>
      </c>
      <c r="G7" s="67">
        <f aca="true" t="shared" si="0" ref="G7:G14">E7-C7</f>
        <v>-4986076</v>
      </c>
      <c r="I7" s="68">
        <f aca="true" t="shared" si="1" ref="I7:I14">(E7-C7)/C7</f>
        <v>-0.04027256599988182</v>
      </c>
    </row>
    <row r="8" spans="1:9" ht="15">
      <c r="A8" s="140" t="s">
        <v>128</v>
      </c>
      <c r="C8" s="69">
        <v>956979</v>
      </c>
      <c r="D8" s="84"/>
      <c r="E8" s="69">
        <v>959568</v>
      </c>
      <c r="I8" s="68">
        <f t="shared" si="1"/>
        <v>0.0027053885194972933</v>
      </c>
    </row>
    <row r="9" spans="1:9" ht="15">
      <c r="A9" s="60" t="s">
        <v>53</v>
      </c>
      <c r="C9" s="69">
        <f>49436406+58086905+47546987</f>
        <v>155070298</v>
      </c>
      <c r="E9" s="69">
        <f>50177361+64936095+52853045</f>
        <v>167966501</v>
      </c>
      <c r="G9" s="67">
        <f t="shared" si="0"/>
        <v>12896203</v>
      </c>
      <c r="I9" s="68">
        <f t="shared" si="1"/>
        <v>0.08316359203746419</v>
      </c>
    </row>
    <row r="10" spans="1:9" ht="15">
      <c r="A10" s="60" t="s">
        <v>54</v>
      </c>
      <c r="C10" s="67">
        <f>7545456+17201819</f>
        <v>24747275</v>
      </c>
      <c r="E10" s="67">
        <f>6351278+15869165</f>
        <v>22220443</v>
      </c>
      <c r="G10" s="67">
        <f t="shared" si="0"/>
        <v>-2526832</v>
      </c>
      <c r="I10" s="68">
        <f t="shared" si="1"/>
        <v>-0.10210546413696053</v>
      </c>
    </row>
    <row r="11" spans="1:9" ht="15">
      <c r="A11" s="60" t="s">
        <v>55</v>
      </c>
      <c r="C11" s="67">
        <v>252606</v>
      </c>
      <c r="E11" s="67">
        <v>120776</v>
      </c>
      <c r="G11" s="67">
        <f t="shared" si="0"/>
        <v>-131830</v>
      </c>
      <c r="I11" s="68">
        <f t="shared" si="1"/>
        <v>-0.5218799236756055</v>
      </c>
    </row>
    <row r="12" spans="1:9" ht="15">
      <c r="A12" s="60" t="s">
        <v>56</v>
      </c>
      <c r="C12" s="67">
        <v>4245250</v>
      </c>
      <c r="E12" s="67">
        <v>4457592</v>
      </c>
      <c r="G12" s="67">
        <f t="shared" si="0"/>
        <v>212342</v>
      </c>
      <c r="I12" s="68">
        <f t="shared" si="1"/>
        <v>0.05001872681231965</v>
      </c>
    </row>
    <row r="13" spans="1:9" ht="15">
      <c r="A13" s="60" t="s">
        <v>57</v>
      </c>
      <c r="C13" s="67">
        <v>1852846</v>
      </c>
      <c r="E13" s="67">
        <v>1970646</v>
      </c>
      <c r="G13" s="67">
        <f t="shared" si="0"/>
        <v>117800</v>
      </c>
      <c r="I13" s="68">
        <f t="shared" si="1"/>
        <v>0.06357786885688287</v>
      </c>
    </row>
    <row r="14" spans="1:9" ht="15">
      <c r="A14" s="60" t="s">
        <v>58</v>
      </c>
      <c r="C14" s="79">
        <f>9037558-C13</f>
        <v>7184712</v>
      </c>
      <c r="D14" s="72"/>
      <c r="E14" s="79">
        <f>10786588-E13</f>
        <v>8815942</v>
      </c>
      <c r="G14" s="67">
        <f t="shared" si="0"/>
        <v>1631230</v>
      </c>
      <c r="I14" s="68">
        <f t="shared" si="1"/>
        <v>0.22704180766048798</v>
      </c>
    </row>
    <row r="15" spans="1:9" ht="15">
      <c r="A15" s="88" t="s">
        <v>133</v>
      </c>
      <c r="C15" s="79">
        <v>9855831</v>
      </c>
      <c r="D15" s="72"/>
      <c r="E15" s="79">
        <v>8566769</v>
      </c>
      <c r="I15" s="68">
        <v>1</v>
      </c>
    </row>
    <row r="16" spans="3:5" ht="6" customHeight="1">
      <c r="C16" s="79"/>
      <c r="E16" s="79"/>
    </row>
    <row r="17" spans="1:9" ht="15">
      <c r="A17" s="60" t="s">
        <v>29</v>
      </c>
      <c r="C17" s="87">
        <f>SUM(C7:C15)</f>
        <v>327974049</v>
      </c>
      <c r="D17" s="84"/>
      <c r="E17" s="87">
        <f>SUM(E7:E15)</f>
        <v>333900413</v>
      </c>
      <c r="G17" s="70">
        <f>SUM(G7:G14)</f>
        <v>7212837</v>
      </c>
      <c r="I17" s="71">
        <f>(E17-C17)/C17</f>
        <v>0.018069612574743682</v>
      </c>
    </row>
    <row r="18" spans="3:9" ht="15">
      <c r="C18" s="72"/>
      <c r="E18" s="72"/>
      <c r="G18" s="72"/>
      <c r="I18" s="73"/>
    </row>
    <row r="19" spans="1:9" ht="15">
      <c r="A19" s="60" t="s">
        <v>30</v>
      </c>
      <c r="C19" s="72">
        <v>0</v>
      </c>
      <c r="E19" s="72">
        <v>0</v>
      </c>
      <c r="G19" s="67">
        <f>E19-C19</f>
        <v>0</v>
      </c>
      <c r="I19" s="68">
        <v>0</v>
      </c>
    </row>
    <row r="21" spans="1:9" s="80" customFormat="1" ht="18.75" thickBot="1">
      <c r="A21" s="80" t="s">
        <v>35</v>
      </c>
      <c r="C21" s="85">
        <f>C17+C19</f>
        <v>327974049</v>
      </c>
      <c r="D21" s="86"/>
      <c r="E21" s="85">
        <f>E17+E19</f>
        <v>333900413</v>
      </c>
      <c r="F21" s="81"/>
      <c r="G21" s="82">
        <f>G17+G19</f>
        <v>7212837</v>
      </c>
      <c r="I21" s="83">
        <f>(E21-C21)/C21</f>
        <v>0.018069612574743682</v>
      </c>
    </row>
    <row r="22" ht="15.75" thickTop="1"/>
    <row r="23" ht="15" hidden="1">
      <c r="A23" s="60" t="s">
        <v>59</v>
      </c>
    </row>
    <row r="24" spans="1:9" ht="15" hidden="1">
      <c r="A24" s="60" t="s">
        <v>60</v>
      </c>
      <c r="C24" s="67">
        <v>65539450</v>
      </c>
      <c r="E24" s="67">
        <v>65539450</v>
      </c>
      <c r="G24" s="67">
        <f aca="true" t="shared" si="2" ref="G24:G37">E24-C24</f>
        <v>0</v>
      </c>
      <c r="I24" s="68">
        <f aca="true" t="shared" si="3" ref="I24:I38">G24/C24</f>
        <v>0</v>
      </c>
    </row>
    <row r="25" spans="1:9" ht="15" hidden="1">
      <c r="A25" s="60" t="s">
        <v>61</v>
      </c>
      <c r="C25" s="67">
        <v>45691509</v>
      </c>
      <c r="E25" s="67">
        <v>45691509</v>
      </c>
      <c r="G25" s="67">
        <f t="shared" si="2"/>
        <v>0</v>
      </c>
      <c r="I25" s="68">
        <f t="shared" si="3"/>
        <v>0</v>
      </c>
    </row>
    <row r="26" spans="1:9" ht="15" hidden="1">
      <c r="A26" s="60" t="s">
        <v>62</v>
      </c>
      <c r="C26" s="67">
        <v>17774094</v>
      </c>
      <c r="E26" s="67">
        <v>17774094</v>
      </c>
      <c r="G26" s="67">
        <f t="shared" si="2"/>
        <v>0</v>
      </c>
      <c r="I26" s="68">
        <f t="shared" si="3"/>
        <v>0</v>
      </c>
    </row>
    <row r="27" spans="1:9" ht="15" hidden="1">
      <c r="A27" s="60" t="s">
        <v>63</v>
      </c>
      <c r="C27" s="67">
        <v>36517887</v>
      </c>
      <c r="E27" s="67">
        <v>36517887</v>
      </c>
      <c r="G27" s="67">
        <f t="shared" si="2"/>
        <v>0</v>
      </c>
      <c r="I27" s="68">
        <f t="shared" si="3"/>
        <v>0</v>
      </c>
    </row>
    <row r="28" spans="1:9" ht="15" hidden="1">
      <c r="A28" s="60" t="s">
        <v>64</v>
      </c>
      <c r="C28" s="67">
        <v>301684</v>
      </c>
      <c r="E28" s="67">
        <v>301684</v>
      </c>
      <c r="G28" s="67">
        <f t="shared" si="2"/>
        <v>0</v>
      </c>
      <c r="I28" s="68">
        <f t="shared" si="3"/>
        <v>0</v>
      </c>
    </row>
    <row r="29" spans="1:9" ht="15" hidden="1">
      <c r="A29" s="60" t="s">
        <v>65</v>
      </c>
      <c r="C29" s="67">
        <f>29466132-C33-C36-C37</f>
        <v>11900262</v>
      </c>
      <c r="E29" s="67">
        <f>29466132-E33-E36-E37</f>
        <v>11900262</v>
      </c>
      <c r="G29" s="67">
        <f t="shared" si="2"/>
        <v>0</v>
      </c>
      <c r="I29" s="68">
        <f t="shared" si="3"/>
        <v>0</v>
      </c>
    </row>
    <row r="30" spans="1:9" ht="15" hidden="1">
      <c r="A30" s="60" t="s">
        <v>66</v>
      </c>
      <c r="C30" s="67">
        <v>11376742</v>
      </c>
      <c r="E30" s="67">
        <v>11376742</v>
      </c>
      <c r="G30" s="67">
        <f t="shared" si="2"/>
        <v>0</v>
      </c>
      <c r="I30" s="68">
        <f t="shared" si="3"/>
        <v>0</v>
      </c>
    </row>
    <row r="31" spans="1:9" ht="15" hidden="1">
      <c r="A31" s="60" t="s">
        <v>67</v>
      </c>
      <c r="C31" s="67">
        <v>5838821</v>
      </c>
      <c r="E31" s="67">
        <v>5838821</v>
      </c>
      <c r="G31" s="67">
        <f t="shared" si="2"/>
        <v>0</v>
      </c>
      <c r="I31" s="68">
        <f t="shared" si="3"/>
        <v>0</v>
      </c>
    </row>
    <row r="32" spans="1:10" ht="15" hidden="1">
      <c r="A32" s="60" t="s">
        <v>68</v>
      </c>
      <c r="C32" s="67">
        <v>2078787</v>
      </c>
      <c r="E32" s="67">
        <v>2078787</v>
      </c>
      <c r="G32" s="67">
        <f t="shared" si="2"/>
        <v>0</v>
      </c>
      <c r="I32" s="68">
        <f t="shared" si="3"/>
        <v>0</v>
      </c>
      <c r="J32" s="76"/>
    </row>
    <row r="33" spans="1:9" ht="15" hidden="1">
      <c r="A33" s="60" t="s">
        <v>69</v>
      </c>
      <c r="C33" s="67">
        <v>1623641</v>
      </c>
      <c r="E33" s="67">
        <v>1623641</v>
      </c>
      <c r="G33" s="67">
        <f t="shared" si="2"/>
        <v>0</v>
      </c>
      <c r="I33" s="68">
        <f t="shared" si="3"/>
        <v>0</v>
      </c>
    </row>
    <row r="34" spans="1:9" ht="15" hidden="1">
      <c r="A34" s="60" t="s">
        <v>70</v>
      </c>
      <c r="C34" s="67">
        <v>11527260</v>
      </c>
      <c r="E34" s="67">
        <v>11527260</v>
      </c>
      <c r="G34" s="67">
        <f t="shared" si="2"/>
        <v>0</v>
      </c>
      <c r="I34" s="68">
        <f t="shared" si="3"/>
        <v>0</v>
      </c>
    </row>
    <row r="35" spans="1:9" ht="15" hidden="1">
      <c r="A35" s="60" t="s">
        <v>71</v>
      </c>
      <c r="C35" s="67">
        <v>26124433</v>
      </c>
      <c r="E35" s="67">
        <v>26124433</v>
      </c>
      <c r="G35" s="67">
        <f t="shared" si="2"/>
        <v>0</v>
      </c>
      <c r="I35" s="68">
        <f t="shared" si="3"/>
        <v>0</v>
      </c>
    </row>
    <row r="36" spans="1:10" ht="15" hidden="1">
      <c r="A36" s="60" t="s">
        <v>72</v>
      </c>
      <c r="C36" s="67">
        <v>11738960</v>
      </c>
      <c r="E36" s="67">
        <v>11738960</v>
      </c>
      <c r="G36" s="67">
        <f t="shared" si="2"/>
        <v>0</v>
      </c>
      <c r="I36" s="68">
        <f t="shared" si="3"/>
        <v>0</v>
      </c>
      <c r="J36" s="77"/>
    </row>
    <row r="37" spans="1:9" ht="15" hidden="1">
      <c r="A37" s="60" t="s">
        <v>73</v>
      </c>
      <c r="C37" s="67">
        <v>4203269</v>
      </c>
      <c r="E37" s="67">
        <v>4203269</v>
      </c>
      <c r="G37" s="67">
        <f t="shared" si="2"/>
        <v>0</v>
      </c>
      <c r="I37" s="68">
        <f t="shared" si="3"/>
        <v>0</v>
      </c>
    </row>
    <row r="38" spans="1:9" ht="15.75" hidden="1" thickBot="1">
      <c r="A38" s="60" t="s">
        <v>74</v>
      </c>
      <c r="C38" s="74">
        <f>SUM(C24:C37)</f>
        <v>252236799</v>
      </c>
      <c r="E38" s="74">
        <f>SUM(E24:E37)</f>
        <v>252236799</v>
      </c>
      <c r="G38" s="74">
        <f>SUM(G24:G37)</f>
        <v>0</v>
      </c>
      <c r="I38" s="75">
        <f t="shared" si="3"/>
        <v>0</v>
      </c>
    </row>
    <row r="40" ht="15">
      <c r="A40" s="60" t="s">
        <v>123</v>
      </c>
    </row>
    <row r="41" ht="6" customHeight="1"/>
    <row r="42" spans="1:9" ht="15">
      <c r="A42" s="60" t="s">
        <v>75</v>
      </c>
      <c r="C42" s="84">
        <v>131289699</v>
      </c>
      <c r="D42" s="84"/>
      <c r="E42" s="84">
        <v>131433604</v>
      </c>
      <c r="G42" s="67">
        <f aca="true" t="shared" si="4" ref="G42:G50">E42-C42</f>
        <v>143905</v>
      </c>
      <c r="I42" s="68">
        <f aca="true" t="shared" si="5" ref="I42:I52">(E42-C42)/C42</f>
        <v>0.0010960875155940453</v>
      </c>
    </row>
    <row r="43" spans="1:9" ht="15">
      <c r="A43" s="60" t="s">
        <v>76</v>
      </c>
      <c r="C43" s="78">
        <v>31187730</v>
      </c>
      <c r="E43" s="78">
        <v>31376344</v>
      </c>
      <c r="G43" s="67">
        <f t="shared" si="4"/>
        <v>188614</v>
      </c>
      <c r="I43" s="68">
        <f t="shared" si="5"/>
        <v>0.006047698886709613</v>
      </c>
    </row>
    <row r="44" spans="1:9" ht="15">
      <c r="A44" s="60" t="s">
        <v>77</v>
      </c>
      <c r="C44" s="78">
        <v>4602203</v>
      </c>
      <c r="E44" s="78">
        <v>4634859</v>
      </c>
      <c r="G44" s="67">
        <f t="shared" si="4"/>
        <v>32656</v>
      </c>
      <c r="I44" s="68">
        <f t="shared" si="5"/>
        <v>0.007095732196080877</v>
      </c>
    </row>
    <row r="45" spans="1:9" ht="15">
      <c r="A45" s="60" t="s">
        <v>78</v>
      </c>
      <c r="C45" s="78">
        <v>13902199</v>
      </c>
      <c r="E45" s="78">
        <v>14278759</v>
      </c>
      <c r="G45" s="67">
        <f t="shared" si="4"/>
        <v>376560</v>
      </c>
      <c r="I45" s="68">
        <f t="shared" si="5"/>
        <v>0.027086362380512607</v>
      </c>
    </row>
    <row r="46" spans="1:9" ht="15">
      <c r="A46" s="60" t="s">
        <v>79</v>
      </c>
      <c r="C46" s="78">
        <f>54079302-C45</f>
        <v>40177103</v>
      </c>
      <c r="E46" s="78">
        <f>54958422-E45</f>
        <v>40679663</v>
      </c>
      <c r="G46" s="67">
        <f t="shared" si="4"/>
        <v>502560</v>
      </c>
      <c r="I46" s="68">
        <f t="shared" si="5"/>
        <v>0.012508617159380555</v>
      </c>
    </row>
    <row r="47" spans="1:9" ht="15">
      <c r="A47" s="60" t="s">
        <v>80</v>
      </c>
      <c r="C47" s="78">
        <v>17884048</v>
      </c>
      <c r="E47" s="78">
        <v>17726849</v>
      </c>
      <c r="G47" s="67">
        <f t="shared" si="4"/>
        <v>-157199</v>
      </c>
      <c r="I47" s="68">
        <f t="shared" si="5"/>
        <v>-0.00878990036260247</v>
      </c>
    </row>
    <row r="48" spans="1:9" ht="15">
      <c r="A48" s="60" t="s">
        <v>81</v>
      </c>
      <c r="C48" s="78">
        <v>16342323</v>
      </c>
      <c r="E48" s="78">
        <v>15392697</v>
      </c>
      <c r="G48" s="67">
        <f t="shared" si="4"/>
        <v>-949626</v>
      </c>
      <c r="I48" s="68">
        <f t="shared" si="5"/>
        <v>-0.058108385203254155</v>
      </c>
    </row>
    <row r="49" spans="1:9" ht="15">
      <c r="A49" s="60" t="s">
        <v>82</v>
      </c>
      <c r="C49" s="79">
        <v>35235452</v>
      </c>
      <c r="E49" s="79">
        <v>34942793</v>
      </c>
      <c r="G49" s="67">
        <f t="shared" si="4"/>
        <v>-292659</v>
      </c>
      <c r="I49" s="68">
        <f t="shared" si="5"/>
        <v>-0.008305810863445146</v>
      </c>
    </row>
    <row r="50" spans="1:9" ht="15">
      <c r="A50" s="60" t="s">
        <v>71</v>
      </c>
      <c r="C50" s="79">
        <v>37353292</v>
      </c>
      <c r="D50" s="72"/>
      <c r="E50" s="79">
        <v>43434845</v>
      </c>
      <c r="G50" s="67">
        <f t="shared" si="4"/>
        <v>6081553</v>
      </c>
      <c r="I50" s="68">
        <f t="shared" si="5"/>
        <v>0.16281170077325446</v>
      </c>
    </row>
    <row r="51" spans="3:5" ht="9" customHeight="1">
      <c r="C51" s="79"/>
      <c r="E51" s="79"/>
    </row>
    <row r="52" spans="1:9" s="80" customFormat="1" ht="18.75" thickBot="1">
      <c r="A52" s="80" t="s">
        <v>46</v>
      </c>
      <c r="C52" s="85">
        <f>SUM(C42:C50)</f>
        <v>327974049</v>
      </c>
      <c r="D52" s="86"/>
      <c r="E52" s="85">
        <f>SUM(E42:E50)</f>
        <v>333900413</v>
      </c>
      <c r="F52" s="81"/>
      <c r="G52" s="82">
        <f>SUM(G42:G50)</f>
        <v>5926364</v>
      </c>
      <c r="I52" s="83">
        <f t="shared" si="5"/>
        <v>0.018069612574743682</v>
      </c>
    </row>
    <row r="53" ht="15.75" thickTop="1"/>
  </sheetData>
  <sheetProtection/>
  <printOptions horizontalCentered="1"/>
  <pageMargins left="0.89" right="1" top="1" bottom="1" header="0.5" footer="0.5"/>
  <pageSetup fitToHeight="1" fitToWidth="1" horizontalDpi="300" verticalDpi="300" orientation="landscape" scale="79" r:id="rId1"/>
  <headerFooter alignWithMargins="0">
    <oddHeader>&amp;C&amp;"Arial,Bold"&amp;18 
OSU - GENERAL UNIVERSITY
SUMMARY OF REVENUE &amp;&amp; EXPENDITURES
Education &amp;&amp;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showGridLines="0" zoomScale="85" zoomScaleNormal="85" zoomScalePageLayoutView="0" workbookViewId="0" topLeftCell="A1">
      <selection activeCell="I17" sqref="I17"/>
    </sheetView>
  </sheetViews>
  <sheetFormatPr defaultColWidth="9.140625" defaultRowHeight="12.75"/>
  <cols>
    <col min="1" max="1" width="54.421875" style="28" customWidth="1"/>
    <col min="2" max="2" width="9.140625" style="28" customWidth="1"/>
    <col min="3" max="3" width="20.7109375" style="27" customWidth="1"/>
    <col min="4" max="4" width="9.140625" style="29" customWidth="1"/>
    <col min="5" max="5" width="20.57421875" style="27" customWidth="1"/>
    <col min="6" max="6" width="9.140625" style="29" customWidth="1"/>
    <col min="7" max="7" width="13.57421875" style="27" hidden="1" customWidth="1"/>
    <col min="8" max="8" width="0" style="28" hidden="1" customWidth="1"/>
    <col min="9" max="9" width="16.57421875" style="30" customWidth="1"/>
    <col min="10" max="16384" width="9.140625" style="28" customWidth="1"/>
  </cols>
  <sheetData>
    <row r="1" ht="90" customHeight="1"/>
    <row r="2" spans="1:10" ht="15.75" customHeight="1">
      <c r="A2" s="88"/>
      <c r="B2" s="88"/>
      <c r="C2" s="62"/>
      <c r="D2" s="62"/>
      <c r="E2" s="62"/>
      <c r="F2" s="62"/>
      <c r="G2" s="63" t="s">
        <v>47</v>
      </c>
      <c r="H2" s="61"/>
      <c r="I2" s="64" t="s">
        <v>124</v>
      </c>
      <c r="J2" s="88"/>
    </row>
    <row r="3" spans="1:10" ht="15.75">
      <c r="A3" s="88"/>
      <c r="B3" s="88"/>
      <c r="C3" s="63" t="s">
        <v>130</v>
      </c>
      <c r="D3" s="62"/>
      <c r="E3" s="63" t="s">
        <v>134</v>
      </c>
      <c r="F3" s="62"/>
      <c r="G3" s="63" t="s">
        <v>49</v>
      </c>
      <c r="H3" s="61"/>
      <c r="I3" s="64" t="s">
        <v>49</v>
      </c>
      <c r="J3" s="88"/>
    </row>
    <row r="4" spans="2:10" ht="15.75">
      <c r="B4" s="88"/>
      <c r="C4" s="65" t="s">
        <v>48</v>
      </c>
      <c r="D4" s="62"/>
      <c r="E4" s="65" t="s">
        <v>48</v>
      </c>
      <c r="F4" s="62"/>
      <c r="G4" s="65" t="s">
        <v>50</v>
      </c>
      <c r="H4" s="61"/>
      <c r="I4" s="66" t="s">
        <v>50</v>
      </c>
      <c r="J4" s="88"/>
    </row>
    <row r="5" spans="1:10" ht="15">
      <c r="A5" s="88" t="s">
        <v>51</v>
      </c>
      <c r="B5" s="88"/>
      <c r="C5" s="67"/>
      <c r="D5" s="89"/>
      <c r="E5" s="67"/>
      <c r="F5" s="89"/>
      <c r="G5" s="67"/>
      <c r="H5" s="88"/>
      <c r="I5" s="90"/>
      <c r="J5" s="88"/>
    </row>
    <row r="6" spans="1:10" ht="6.75" customHeight="1">
      <c r="A6" s="88"/>
      <c r="B6" s="88"/>
      <c r="C6" s="67"/>
      <c r="D6" s="89"/>
      <c r="E6" s="67"/>
      <c r="F6" s="89"/>
      <c r="G6" s="67"/>
      <c r="H6" s="88"/>
      <c r="I6" s="90"/>
      <c r="J6" s="88"/>
    </row>
    <row r="7" spans="1:10" ht="15">
      <c r="A7" s="88" t="s">
        <v>83</v>
      </c>
      <c r="B7" s="88"/>
      <c r="C7" s="84">
        <v>27229189</v>
      </c>
      <c r="D7" s="84"/>
      <c r="E7" s="84">
        <v>25861086</v>
      </c>
      <c r="F7" s="89"/>
      <c r="G7" s="67">
        <f>E7-C7</f>
        <v>-1368103</v>
      </c>
      <c r="H7" s="88"/>
      <c r="I7" s="91">
        <f>(E7-C7)/C7</f>
        <v>-0.05024398633393011</v>
      </c>
      <c r="J7" s="88"/>
    </row>
    <row r="8" spans="1:10" ht="6" customHeight="1">
      <c r="A8" s="88"/>
      <c r="B8" s="88"/>
      <c r="C8" s="67"/>
      <c r="D8" s="89"/>
      <c r="E8" s="67"/>
      <c r="F8" s="89"/>
      <c r="G8" s="67"/>
      <c r="H8" s="88"/>
      <c r="I8" s="90"/>
      <c r="J8" s="88"/>
    </row>
    <row r="9" spans="1:10" ht="15">
      <c r="A9" s="88" t="s">
        <v>84</v>
      </c>
      <c r="B9" s="88"/>
      <c r="C9" s="67"/>
      <c r="D9" s="89"/>
      <c r="E9" s="67"/>
      <c r="F9" s="89"/>
      <c r="G9" s="67"/>
      <c r="H9" s="88"/>
      <c r="I9" s="90"/>
      <c r="J9" s="88"/>
    </row>
    <row r="10" spans="1:10" ht="15">
      <c r="A10" s="88" t="s">
        <v>85</v>
      </c>
      <c r="B10" s="88"/>
      <c r="C10" s="92">
        <v>2788170</v>
      </c>
      <c r="D10" s="89"/>
      <c r="E10" s="92">
        <v>2899714</v>
      </c>
      <c r="F10" s="89"/>
      <c r="G10" s="67">
        <f>E10-C10</f>
        <v>111544</v>
      </c>
      <c r="H10" s="88"/>
      <c r="I10" s="91">
        <f>(E10-C10)/C10</f>
        <v>0.040006168920833377</v>
      </c>
      <c r="J10" s="88"/>
    </row>
    <row r="11" spans="1:10" ht="15">
      <c r="A11" s="88" t="s">
        <v>86</v>
      </c>
      <c r="B11" s="88"/>
      <c r="C11" s="92">
        <v>631889</v>
      </c>
      <c r="D11" s="89"/>
      <c r="E11" s="92">
        <v>696840</v>
      </c>
      <c r="F11" s="89"/>
      <c r="G11" s="67">
        <f>E11-C11</f>
        <v>64951</v>
      </c>
      <c r="H11" s="88"/>
      <c r="I11" s="91">
        <f>(E11-C11)/C11</f>
        <v>0.1027886226853134</v>
      </c>
      <c r="J11" s="88"/>
    </row>
    <row r="12" spans="1:10" ht="15">
      <c r="A12" s="88" t="s">
        <v>87</v>
      </c>
      <c r="B12" s="88"/>
      <c r="C12" s="92">
        <v>469818</v>
      </c>
      <c r="D12" s="89"/>
      <c r="E12" s="92">
        <v>515992</v>
      </c>
      <c r="F12" s="89"/>
      <c r="G12" s="67">
        <f>E12-C12</f>
        <v>46174</v>
      </c>
      <c r="H12" s="88"/>
      <c r="I12" s="91">
        <f>(E12-C12)/C12</f>
        <v>0.09828061078971005</v>
      </c>
      <c r="J12" s="88"/>
    </row>
    <row r="13" spans="1:10" ht="15">
      <c r="A13" s="88" t="s">
        <v>88</v>
      </c>
      <c r="B13" s="88"/>
      <c r="C13" s="92">
        <v>70903</v>
      </c>
      <c r="D13" s="89"/>
      <c r="E13" s="92">
        <v>67354</v>
      </c>
      <c r="F13" s="89"/>
      <c r="G13" s="67">
        <f>E13-C13</f>
        <v>-3549</v>
      </c>
      <c r="H13" s="88"/>
      <c r="I13" s="93">
        <f>(E13-C13)/C13</f>
        <v>-0.05005429953598578</v>
      </c>
      <c r="J13" s="88"/>
    </row>
    <row r="14" spans="1:10" ht="15">
      <c r="A14" s="88" t="s">
        <v>125</v>
      </c>
      <c r="B14" s="88"/>
      <c r="C14" s="101">
        <f>SUM(C10:C13)</f>
        <v>3960780</v>
      </c>
      <c r="D14" s="84"/>
      <c r="E14" s="101">
        <f>SUM(E10:E13)</f>
        <v>4179900</v>
      </c>
      <c r="F14" s="89"/>
      <c r="G14" s="70">
        <f>SUM(G10:G13)</f>
        <v>219120</v>
      </c>
      <c r="H14" s="88"/>
      <c r="I14" s="91">
        <f>(E14-C14)/C14</f>
        <v>0.055322436489782315</v>
      </c>
      <c r="J14" s="88"/>
    </row>
    <row r="15" spans="1:10" ht="15">
      <c r="A15" s="88"/>
      <c r="B15" s="88"/>
      <c r="C15" s="67"/>
      <c r="D15" s="89"/>
      <c r="E15" s="67"/>
      <c r="F15" s="89"/>
      <c r="G15" s="67"/>
      <c r="H15" s="88"/>
      <c r="I15" s="90"/>
      <c r="J15" s="88"/>
    </row>
    <row r="16" spans="1:10" ht="15">
      <c r="A16" s="88" t="s">
        <v>89</v>
      </c>
      <c r="B16" s="88"/>
      <c r="C16" s="67">
        <v>2295000</v>
      </c>
      <c r="D16" s="89"/>
      <c r="E16" s="67">
        <v>2500000</v>
      </c>
      <c r="F16" s="89"/>
      <c r="G16" s="67">
        <f>E16-C16</f>
        <v>205000</v>
      </c>
      <c r="H16" s="88"/>
      <c r="I16" s="91">
        <f aca="true" t="shared" si="0" ref="I16:I22">(E16-C16)/C16</f>
        <v>0.08932461873638345</v>
      </c>
      <c r="J16" s="88"/>
    </row>
    <row r="17" spans="1:10" ht="15">
      <c r="A17" s="88" t="s">
        <v>90</v>
      </c>
      <c r="B17" s="88"/>
      <c r="C17" s="94">
        <v>4000000</v>
      </c>
      <c r="D17" s="89"/>
      <c r="E17" s="94">
        <v>6000000</v>
      </c>
      <c r="F17" s="89"/>
      <c r="G17" s="67">
        <f>E17-C17</f>
        <v>2000000</v>
      </c>
      <c r="H17" s="88"/>
      <c r="I17" s="91">
        <f t="shared" si="0"/>
        <v>0.5</v>
      </c>
      <c r="J17" s="88"/>
    </row>
    <row r="18" spans="1:10" ht="15">
      <c r="A18" s="88" t="s">
        <v>132</v>
      </c>
      <c r="B18" s="88"/>
      <c r="C18" s="94">
        <v>2168943</v>
      </c>
      <c r="D18" s="89"/>
      <c r="E18" s="94">
        <v>1885263</v>
      </c>
      <c r="F18" s="89"/>
      <c r="G18" s="67"/>
      <c r="H18" s="88"/>
      <c r="I18" s="91">
        <v>1</v>
      </c>
      <c r="J18" s="88"/>
    </row>
    <row r="19" spans="1:10" ht="4.5" customHeight="1">
      <c r="A19" s="88"/>
      <c r="B19" s="88"/>
      <c r="C19" s="94"/>
      <c r="D19" s="89"/>
      <c r="E19" s="94"/>
      <c r="F19" s="89"/>
      <c r="G19" s="67"/>
      <c r="H19" s="88"/>
      <c r="I19" s="91"/>
      <c r="J19" s="88"/>
    </row>
    <row r="20" spans="1:10" ht="15">
      <c r="A20" s="88" t="s">
        <v>29</v>
      </c>
      <c r="B20" s="88"/>
      <c r="C20" s="87">
        <f>C7+C14+C17+C16+C18</f>
        <v>39653912</v>
      </c>
      <c r="D20" s="84"/>
      <c r="E20" s="87">
        <f>E7+E14+E17+E16+E18</f>
        <v>40426249</v>
      </c>
      <c r="F20" s="89"/>
      <c r="G20" s="70">
        <f>G7+G14+G17+G16</f>
        <v>1056017</v>
      </c>
      <c r="H20" s="88"/>
      <c r="I20" s="95">
        <f t="shared" si="0"/>
        <v>0.019476943409770013</v>
      </c>
      <c r="J20" s="88"/>
    </row>
    <row r="21" spans="1:10" ht="15">
      <c r="A21" s="88"/>
      <c r="B21" s="88"/>
      <c r="C21" s="72"/>
      <c r="D21" s="89"/>
      <c r="E21" s="72"/>
      <c r="F21" s="89"/>
      <c r="G21" s="72"/>
      <c r="H21" s="88"/>
      <c r="I21" s="96"/>
      <c r="J21" s="88"/>
    </row>
    <row r="22" spans="1:10" ht="15">
      <c r="A22" s="60" t="s">
        <v>30</v>
      </c>
      <c r="B22" s="88"/>
      <c r="C22" s="105">
        <v>3750000</v>
      </c>
      <c r="D22" s="84"/>
      <c r="E22" s="105">
        <v>10000000</v>
      </c>
      <c r="F22" s="89"/>
      <c r="G22" s="67">
        <f>E22-C22</f>
        <v>6250000</v>
      </c>
      <c r="H22" s="88"/>
      <c r="I22" s="91">
        <f t="shared" si="0"/>
        <v>1.6666666666666667</v>
      </c>
      <c r="J22" s="88"/>
    </row>
    <row r="23" spans="1:10" ht="15">
      <c r="A23" s="88"/>
      <c r="B23" s="88"/>
      <c r="C23" s="67"/>
      <c r="D23" s="89"/>
      <c r="E23" s="67"/>
      <c r="F23" s="89"/>
      <c r="G23" s="67"/>
      <c r="H23" s="88"/>
      <c r="I23" s="90"/>
      <c r="J23" s="88"/>
    </row>
    <row r="24" spans="1:9" s="98" customFormat="1" ht="18.75" thickBot="1">
      <c r="A24" s="98" t="s">
        <v>35</v>
      </c>
      <c r="C24" s="85">
        <f>SUM(C20:C23)</f>
        <v>43403912</v>
      </c>
      <c r="D24" s="86"/>
      <c r="E24" s="85">
        <f>SUM(E20:E23)</f>
        <v>50426249</v>
      </c>
      <c r="F24" s="99"/>
      <c r="G24" s="82">
        <f>SUM(G20:G23)</f>
        <v>7306017</v>
      </c>
      <c r="I24" s="100">
        <f>(E24-C24)/C24</f>
        <v>0.16179041649517675</v>
      </c>
    </row>
    <row r="25" spans="3:9" s="98" customFormat="1" ht="18.75" thickTop="1">
      <c r="C25" s="102"/>
      <c r="D25" s="86"/>
      <c r="E25" s="102"/>
      <c r="F25" s="99"/>
      <c r="G25" s="103"/>
      <c r="I25" s="104"/>
    </row>
    <row r="26" spans="1:10" ht="20.25" customHeight="1">
      <c r="A26" s="88"/>
      <c r="B26" s="88"/>
      <c r="C26" s="67"/>
      <c r="D26" s="89"/>
      <c r="E26" s="67"/>
      <c r="F26" s="89"/>
      <c r="G26" s="67"/>
      <c r="H26" s="88"/>
      <c r="I26" s="90"/>
      <c r="J26" s="88"/>
    </row>
    <row r="27" spans="1:10" ht="15" hidden="1">
      <c r="A27" s="88" t="s">
        <v>59</v>
      </c>
      <c r="B27" s="88"/>
      <c r="C27" s="67"/>
      <c r="D27" s="89"/>
      <c r="E27" s="67"/>
      <c r="F27" s="89"/>
      <c r="G27" s="67"/>
      <c r="H27" s="88"/>
      <c r="I27" s="90"/>
      <c r="J27" s="88"/>
    </row>
    <row r="28" spans="1:10" ht="15" hidden="1">
      <c r="A28" s="88" t="s">
        <v>91</v>
      </c>
      <c r="B28" s="88"/>
      <c r="C28" s="94">
        <v>14825050</v>
      </c>
      <c r="D28" s="89"/>
      <c r="E28" s="94">
        <v>14825050</v>
      </c>
      <c r="F28" s="89"/>
      <c r="G28" s="67">
        <f aca="true" t="shared" si="1" ref="G28:G37">E28-C28</f>
        <v>0</v>
      </c>
      <c r="H28" s="88"/>
      <c r="I28" s="91">
        <f aca="true" t="shared" si="2" ref="I28:I38">G28/C28</f>
        <v>0</v>
      </c>
      <c r="J28" s="88"/>
    </row>
    <row r="29" spans="1:10" ht="15" hidden="1">
      <c r="A29" s="88" t="s">
        <v>92</v>
      </c>
      <c r="B29" s="88"/>
      <c r="C29" s="94">
        <v>4567181</v>
      </c>
      <c r="D29" s="89"/>
      <c r="E29" s="94">
        <v>4567181</v>
      </c>
      <c r="F29" s="89"/>
      <c r="G29" s="67">
        <f t="shared" si="1"/>
        <v>0</v>
      </c>
      <c r="H29" s="88"/>
      <c r="I29" s="91">
        <f t="shared" si="2"/>
        <v>0</v>
      </c>
      <c r="J29" s="88"/>
    </row>
    <row r="30" spans="1:10" ht="15" hidden="1">
      <c r="A30" s="88" t="s">
        <v>93</v>
      </c>
      <c r="B30" s="88"/>
      <c r="C30" s="94">
        <v>7251611</v>
      </c>
      <c r="D30" s="89"/>
      <c r="E30" s="94">
        <v>7251611</v>
      </c>
      <c r="F30" s="89"/>
      <c r="G30" s="67">
        <f t="shared" si="1"/>
        <v>0</v>
      </c>
      <c r="H30" s="88"/>
      <c r="I30" s="91">
        <f t="shared" si="2"/>
        <v>0</v>
      </c>
      <c r="J30" s="88"/>
    </row>
    <row r="31" spans="1:10" ht="15" hidden="1">
      <c r="A31" s="88" t="s">
        <v>94</v>
      </c>
      <c r="B31" s="88"/>
      <c r="C31" s="94">
        <v>2541260</v>
      </c>
      <c r="D31" s="89"/>
      <c r="E31" s="94">
        <v>2541260</v>
      </c>
      <c r="F31" s="89"/>
      <c r="G31" s="67">
        <f t="shared" si="1"/>
        <v>0</v>
      </c>
      <c r="H31" s="88"/>
      <c r="I31" s="91">
        <f t="shared" si="2"/>
        <v>0</v>
      </c>
      <c r="J31" s="88"/>
    </row>
    <row r="32" spans="1:10" ht="15" hidden="1">
      <c r="A32" s="88" t="s">
        <v>95</v>
      </c>
      <c r="B32" s="88"/>
      <c r="C32" s="94">
        <v>1589220</v>
      </c>
      <c r="D32" s="89"/>
      <c r="E32" s="94">
        <v>1589220</v>
      </c>
      <c r="F32" s="89"/>
      <c r="G32" s="67">
        <f t="shared" si="1"/>
        <v>0</v>
      </c>
      <c r="H32" s="88"/>
      <c r="I32" s="91">
        <f t="shared" si="2"/>
        <v>0</v>
      </c>
      <c r="J32" s="88"/>
    </row>
    <row r="33" spans="1:10" ht="15" hidden="1">
      <c r="A33" s="88" t="s">
        <v>96</v>
      </c>
      <c r="B33" s="88"/>
      <c r="C33" s="94">
        <v>458000</v>
      </c>
      <c r="D33" s="89"/>
      <c r="E33" s="94">
        <v>458000</v>
      </c>
      <c r="F33" s="89"/>
      <c r="G33" s="67">
        <f t="shared" si="1"/>
        <v>0</v>
      </c>
      <c r="H33" s="88"/>
      <c r="I33" s="91">
        <f t="shared" si="2"/>
        <v>0</v>
      </c>
      <c r="J33" s="88"/>
    </row>
    <row r="34" spans="1:10" ht="15" hidden="1">
      <c r="A34" s="88" t="s">
        <v>97</v>
      </c>
      <c r="B34" s="88"/>
      <c r="C34" s="94">
        <v>520100</v>
      </c>
      <c r="D34" s="89"/>
      <c r="E34" s="94">
        <v>520100</v>
      </c>
      <c r="F34" s="89"/>
      <c r="G34" s="67">
        <f t="shared" si="1"/>
        <v>0</v>
      </c>
      <c r="H34" s="88"/>
      <c r="I34" s="91">
        <f t="shared" si="2"/>
        <v>0</v>
      </c>
      <c r="J34" s="88"/>
    </row>
    <row r="35" spans="1:10" ht="15" hidden="1">
      <c r="A35" s="88" t="s">
        <v>98</v>
      </c>
      <c r="B35" s="88"/>
      <c r="C35" s="94">
        <v>445500</v>
      </c>
      <c r="D35" s="89"/>
      <c r="E35" s="94">
        <v>445500</v>
      </c>
      <c r="F35" s="89"/>
      <c r="G35" s="67">
        <f t="shared" si="1"/>
        <v>0</v>
      </c>
      <c r="H35" s="88"/>
      <c r="I35" s="91">
        <f t="shared" si="2"/>
        <v>0</v>
      </c>
      <c r="J35" s="88"/>
    </row>
    <row r="36" spans="1:10" ht="15" hidden="1">
      <c r="A36" s="88" t="s">
        <v>99</v>
      </c>
      <c r="B36" s="88"/>
      <c r="C36" s="94">
        <v>1490565</v>
      </c>
      <c r="D36" s="89"/>
      <c r="E36" s="94">
        <v>1490565</v>
      </c>
      <c r="F36" s="89"/>
      <c r="G36" s="67">
        <f t="shared" si="1"/>
        <v>0</v>
      </c>
      <c r="H36" s="88"/>
      <c r="I36" s="91">
        <f t="shared" si="2"/>
        <v>0</v>
      </c>
      <c r="J36" s="88"/>
    </row>
    <row r="37" spans="1:10" ht="15" hidden="1">
      <c r="A37" s="88" t="s">
        <v>100</v>
      </c>
      <c r="B37" s="88"/>
      <c r="C37" s="94">
        <v>907198</v>
      </c>
      <c r="D37" s="89"/>
      <c r="E37" s="94">
        <v>907198</v>
      </c>
      <c r="F37" s="89"/>
      <c r="G37" s="67">
        <f t="shared" si="1"/>
        <v>0</v>
      </c>
      <c r="H37" s="88"/>
      <c r="I37" s="91">
        <f t="shared" si="2"/>
        <v>0</v>
      </c>
      <c r="J37" s="88"/>
    </row>
    <row r="38" spans="1:10" ht="15.75" hidden="1" thickBot="1">
      <c r="A38" s="88" t="s">
        <v>74</v>
      </c>
      <c r="B38" s="88"/>
      <c r="C38" s="74">
        <f>SUM(C28:C37)</f>
        <v>34595685</v>
      </c>
      <c r="D38" s="89"/>
      <c r="E38" s="74">
        <f>SUM(E28:E37)</f>
        <v>34595685</v>
      </c>
      <c r="F38" s="89"/>
      <c r="G38" s="74">
        <f>SUM(G28:G37)</f>
        <v>0</v>
      </c>
      <c r="H38" s="88"/>
      <c r="I38" s="97">
        <f t="shared" si="2"/>
        <v>0</v>
      </c>
      <c r="J38" s="88"/>
    </row>
    <row r="39" spans="1:10" ht="15" hidden="1">
      <c r="A39" s="88"/>
      <c r="B39" s="88"/>
      <c r="C39" s="67"/>
      <c r="D39" s="89"/>
      <c r="E39" s="67"/>
      <c r="F39" s="89"/>
      <c r="G39" s="67"/>
      <c r="H39" s="88"/>
      <c r="I39" s="90"/>
      <c r="J39" s="88"/>
    </row>
    <row r="40" spans="1:10" ht="15">
      <c r="A40" s="88"/>
      <c r="B40" s="88"/>
      <c r="C40" s="67"/>
      <c r="D40" s="89"/>
      <c r="E40" s="67"/>
      <c r="F40" s="89"/>
      <c r="G40" s="67"/>
      <c r="H40" s="88"/>
      <c r="I40" s="90"/>
      <c r="J40" s="88"/>
    </row>
    <row r="41" spans="1:10" ht="15">
      <c r="A41" s="88"/>
      <c r="B41" s="88"/>
      <c r="C41" s="67"/>
      <c r="D41" s="89"/>
      <c r="E41" s="67"/>
      <c r="F41" s="89"/>
      <c r="G41" s="67"/>
      <c r="H41" s="88"/>
      <c r="I41" s="90"/>
      <c r="J41" s="88"/>
    </row>
    <row r="42" spans="1:10" ht="15">
      <c r="A42" s="88"/>
      <c r="B42" s="88"/>
      <c r="C42" s="67"/>
      <c r="D42" s="89"/>
      <c r="E42" s="67"/>
      <c r="F42" s="89"/>
      <c r="G42" s="67"/>
      <c r="H42" s="88"/>
      <c r="I42" s="90"/>
      <c r="J42" s="88"/>
    </row>
    <row r="43" spans="1:10" ht="15">
      <c r="A43" s="88"/>
      <c r="B43" s="88"/>
      <c r="C43" s="67"/>
      <c r="D43" s="89"/>
      <c r="E43" s="67"/>
      <c r="F43" s="89"/>
      <c r="G43" s="67"/>
      <c r="H43" s="88"/>
      <c r="I43" s="90"/>
      <c r="J43" s="88"/>
    </row>
  </sheetData>
  <sheetProtection/>
  <printOptions horizontalCentered="1"/>
  <pageMargins left="0.65" right="0.84" top="1" bottom="1" header="0.5" footer="0.5"/>
  <pageSetup fitToHeight="1" fitToWidth="1" horizontalDpi="300" verticalDpi="300" orientation="landscape" scale="86" r:id="rId1"/>
  <headerFooter alignWithMargins="0">
    <oddHeader>&amp;C&amp;"Arial,Bold"&amp;18
OKLAHOMA AGRICULTURAL EXPERIMENT STATION
SUMMARY OF REVENUE &amp;&amp; EXPENDITURES
Education &amp;&amp; General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zoomScale="85" zoomScaleNormal="85" zoomScalePageLayoutView="0" workbookViewId="0" topLeftCell="A4">
      <selection activeCell="C16" sqref="C16"/>
    </sheetView>
  </sheetViews>
  <sheetFormatPr defaultColWidth="9.140625" defaultRowHeight="12.75"/>
  <cols>
    <col min="1" max="1" width="54.421875" style="34" customWidth="1"/>
    <col min="2" max="2" width="9.140625" style="34" customWidth="1"/>
    <col min="3" max="3" width="20.57421875" style="35" customWidth="1"/>
    <col min="4" max="4" width="9.140625" style="34" customWidth="1"/>
    <col min="5" max="5" width="20.7109375" style="35" customWidth="1"/>
    <col min="6" max="6" width="9.140625" style="34" customWidth="1"/>
    <col min="7" max="7" width="13.57421875" style="35" hidden="1" customWidth="1"/>
    <col min="8" max="8" width="0" style="34" hidden="1" customWidth="1"/>
    <col min="9" max="9" width="16.57421875" style="36" customWidth="1"/>
    <col min="10" max="16384" width="9.140625" style="34" customWidth="1"/>
  </cols>
  <sheetData>
    <row r="1" spans="1:9" ht="90" customHeight="1">
      <c r="A1" s="25"/>
      <c r="B1" s="32"/>
      <c r="C1" s="2"/>
      <c r="D1" s="32"/>
      <c r="E1" s="2"/>
      <c r="F1" s="32"/>
      <c r="G1" s="2"/>
      <c r="H1" s="32"/>
      <c r="I1" s="33"/>
    </row>
    <row r="2" spans="1:9" ht="15.75">
      <c r="A2" s="106"/>
      <c r="B2" s="106"/>
      <c r="C2" s="62"/>
      <c r="D2" s="62"/>
      <c r="E2" s="62"/>
      <c r="F2" s="62"/>
      <c r="G2" s="63" t="s">
        <v>47</v>
      </c>
      <c r="H2" s="61"/>
      <c r="I2" s="64" t="s">
        <v>124</v>
      </c>
    </row>
    <row r="3" spans="1:9" ht="15.75">
      <c r="A3" s="106"/>
      <c r="B3" s="106"/>
      <c r="C3" s="63" t="s">
        <v>130</v>
      </c>
      <c r="D3" s="62"/>
      <c r="E3" s="63" t="s">
        <v>134</v>
      </c>
      <c r="F3" s="62"/>
      <c r="G3" s="63" t="s">
        <v>49</v>
      </c>
      <c r="H3" s="61"/>
      <c r="I3" s="64" t="s">
        <v>49</v>
      </c>
    </row>
    <row r="4" spans="1:9" ht="15.75">
      <c r="A4" s="106"/>
      <c r="B4" s="106"/>
      <c r="C4" s="65" t="s">
        <v>48</v>
      </c>
      <c r="D4" s="62"/>
      <c r="E4" s="65" t="s">
        <v>48</v>
      </c>
      <c r="F4" s="62"/>
      <c r="G4" s="65" t="s">
        <v>50</v>
      </c>
      <c r="H4" s="61"/>
      <c r="I4" s="66" t="s">
        <v>50</v>
      </c>
    </row>
    <row r="5" spans="1:9" ht="15">
      <c r="A5" s="106" t="s">
        <v>51</v>
      </c>
      <c r="B5" s="106"/>
      <c r="C5" s="78"/>
      <c r="D5" s="106"/>
      <c r="E5" s="78"/>
      <c r="F5" s="106"/>
      <c r="G5" s="78"/>
      <c r="H5" s="106"/>
      <c r="I5" s="107"/>
    </row>
    <row r="6" spans="1:9" ht="15">
      <c r="A6" s="106"/>
      <c r="B6" s="106"/>
      <c r="C6" s="78"/>
      <c r="D6" s="106"/>
      <c r="E6" s="78"/>
      <c r="F6" s="106"/>
      <c r="G6" s="78"/>
      <c r="H6" s="106"/>
      <c r="I6" s="107"/>
    </row>
    <row r="7" spans="1:9" ht="15">
      <c r="A7" s="106" t="s">
        <v>83</v>
      </c>
      <c r="B7" s="106"/>
      <c r="C7" s="105">
        <v>29755007</v>
      </c>
      <c r="D7" s="84"/>
      <c r="E7" s="105">
        <v>28260752</v>
      </c>
      <c r="F7" s="106"/>
      <c r="G7" s="78">
        <f>E7-C7</f>
        <v>-1494255</v>
      </c>
      <c r="H7" s="106"/>
      <c r="I7" s="91">
        <f>(E7-C7)/C7</f>
        <v>-0.0502186069053857</v>
      </c>
    </row>
    <row r="8" spans="1:9" ht="9" customHeight="1">
      <c r="A8" s="106"/>
      <c r="B8" s="106"/>
      <c r="C8" s="84"/>
      <c r="D8" s="84"/>
      <c r="E8" s="84"/>
      <c r="F8" s="106"/>
      <c r="G8" s="78"/>
      <c r="H8" s="106"/>
      <c r="I8" s="107"/>
    </row>
    <row r="9" spans="1:9" ht="15">
      <c r="A9" s="106" t="s">
        <v>101</v>
      </c>
      <c r="B9" s="106"/>
      <c r="C9" s="84">
        <v>7263449</v>
      </c>
      <c r="D9" s="84"/>
      <c r="E9" s="84">
        <v>8591997</v>
      </c>
      <c r="F9" s="106"/>
      <c r="G9" s="78">
        <f>E9-C9</f>
        <v>1328548</v>
      </c>
      <c r="H9" s="106"/>
      <c r="I9" s="91">
        <f>(E9-C9)/C9</f>
        <v>0.1829086980579061</v>
      </c>
    </row>
    <row r="10" spans="1:9" ht="6.75" customHeight="1">
      <c r="A10" s="106"/>
      <c r="B10" s="106"/>
      <c r="C10" s="78"/>
      <c r="D10" s="106"/>
      <c r="E10" s="78"/>
      <c r="F10" s="106"/>
      <c r="G10" s="78"/>
      <c r="H10" s="106"/>
      <c r="I10" s="107"/>
    </row>
    <row r="11" spans="1:9" ht="15">
      <c r="A11" s="106" t="s">
        <v>102</v>
      </c>
      <c r="B11" s="106"/>
      <c r="C11" s="84">
        <v>4000000</v>
      </c>
      <c r="D11" s="84"/>
      <c r="E11" s="84">
        <v>4000000</v>
      </c>
      <c r="F11" s="106"/>
      <c r="G11" s="78">
        <f>E11-C11</f>
        <v>0</v>
      </c>
      <c r="H11" s="106"/>
      <c r="I11" s="91">
        <f>(E11-C11)/C11</f>
        <v>0</v>
      </c>
    </row>
    <row r="12" spans="1:9" ht="9" customHeight="1">
      <c r="A12" s="106"/>
      <c r="B12" s="106"/>
      <c r="C12" s="84"/>
      <c r="D12" s="84"/>
      <c r="E12" s="84"/>
      <c r="F12" s="106"/>
      <c r="G12" s="78"/>
      <c r="H12" s="106"/>
      <c r="I12" s="91"/>
    </row>
    <row r="13" spans="1:9" ht="15">
      <c r="A13" s="88" t="s">
        <v>132</v>
      </c>
      <c r="B13" s="106"/>
      <c r="C13" s="84">
        <v>2376815</v>
      </c>
      <c r="D13" s="84"/>
      <c r="E13" s="84">
        <v>2065947</v>
      </c>
      <c r="F13" s="106"/>
      <c r="G13" s="78">
        <f>E13-C13</f>
        <v>-310868</v>
      </c>
      <c r="H13" s="106"/>
      <c r="I13" s="91">
        <v>1</v>
      </c>
    </row>
    <row r="14" spans="1:9" ht="8.25" customHeight="1">
      <c r="A14" s="106"/>
      <c r="B14" s="106"/>
      <c r="C14" s="84"/>
      <c r="D14" s="84"/>
      <c r="E14" s="84"/>
      <c r="F14" s="106"/>
      <c r="G14" s="78"/>
      <c r="H14" s="106"/>
      <c r="I14" s="91"/>
    </row>
    <row r="15" spans="1:9" ht="15">
      <c r="A15" s="106" t="s">
        <v>29</v>
      </c>
      <c r="B15" s="106"/>
      <c r="C15" s="87">
        <f>C7+C9+C11+C13</f>
        <v>43395271</v>
      </c>
      <c r="D15" s="84"/>
      <c r="E15" s="87">
        <f>E7+E9+E11+E13</f>
        <v>42918696</v>
      </c>
      <c r="F15" s="106"/>
      <c r="G15" s="109">
        <f>G7+G9+G11</f>
        <v>-165707</v>
      </c>
      <c r="H15" s="106"/>
      <c r="I15" s="95">
        <f>(E15-C15)/C15</f>
        <v>-0.010982187436967498</v>
      </c>
    </row>
    <row r="16" spans="1:9" ht="15">
      <c r="A16" s="106"/>
      <c r="B16" s="106"/>
      <c r="C16" s="78"/>
      <c r="D16" s="106"/>
      <c r="E16" s="78"/>
      <c r="F16" s="106"/>
      <c r="G16" s="78"/>
      <c r="H16" s="106"/>
      <c r="I16" s="107"/>
    </row>
    <row r="17" spans="1:9" ht="15">
      <c r="A17" s="106" t="s">
        <v>30</v>
      </c>
      <c r="B17" s="106"/>
      <c r="C17" s="108">
        <v>8000000</v>
      </c>
      <c r="D17" s="106"/>
      <c r="E17" s="108">
        <v>4000000</v>
      </c>
      <c r="F17" s="106"/>
      <c r="G17" s="78">
        <f>E17-C17</f>
        <v>-4000000</v>
      </c>
      <c r="H17" s="106"/>
      <c r="I17" s="91">
        <f>(E17-C17)/C17</f>
        <v>-0.5</v>
      </c>
    </row>
    <row r="18" spans="1:9" ht="15">
      <c r="A18" s="106"/>
      <c r="B18" s="106"/>
      <c r="C18" s="108"/>
      <c r="D18" s="106"/>
      <c r="E18" s="108"/>
      <c r="F18" s="106"/>
      <c r="G18" s="78"/>
      <c r="H18" s="106"/>
      <c r="I18" s="91"/>
    </row>
    <row r="19" spans="1:9" s="112" customFormat="1" ht="18.75" thickBot="1">
      <c r="A19" s="112" t="s">
        <v>35</v>
      </c>
      <c r="C19" s="85">
        <f>SUM(C15:C17)</f>
        <v>51395271</v>
      </c>
      <c r="D19" s="86"/>
      <c r="E19" s="85">
        <f>SUM(E15:E17)</f>
        <v>46918696</v>
      </c>
      <c r="G19" s="113">
        <f>SUM(G15:G17)</f>
        <v>-4165707</v>
      </c>
      <c r="I19" s="100">
        <f>(E19-C19)/C19</f>
        <v>-0.08710091245554479</v>
      </c>
    </row>
    <row r="20" spans="1:9" ht="15.75" thickTop="1">
      <c r="A20" s="106"/>
      <c r="B20" s="106"/>
      <c r="C20" s="78"/>
      <c r="D20" s="106"/>
      <c r="E20" s="78"/>
      <c r="F20" s="106"/>
      <c r="G20" s="78"/>
      <c r="H20" s="106"/>
      <c r="I20" s="107"/>
    </row>
    <row r="21" spans="1:9" ht="15" hidden="1">
      <c r="A21" s="106" t="s">
        <v>59</v>
      </c>
      <c r="B21" s="106"/>
      <c r="C21" s="78"/>
      <c r="D21" s="106"/>
      <c r="E21" s="78"/>
      <c r="F21" s="106"/>
      <c r="G21" s="78"/>
      <c r="H21" s="106"/>
      <c r="I21" s="107"/>
    </row>
    <row r="22" spans="1:9" ht="15" hidden="1">
      <c r="A22" s="106" t="s">
        <v>91</v>
      </c>
      <c r="B22" s="106"/>
      <c r="C22" s="108">
        <f>15577036+2391768</f>
        <v>17968804</v>
      </c>
      <c r="D22" s="106"/>
      <c r="E22" s="108">
        <f>15577036+2391768</f>
        <v>17968804</v>
      </c>
      <c r="F22" s="106"/>
      <c r="G22" s="78">
        <f aca="true" t="shared" si="0" ref="G22:G32">E22-C22</f>
        <v>0</v>
      </c>
      <c r="H22" s="106"/>
      <c r="I22" s="91">
        <f aca="true" t="shared" si="1" ref="I22:I29">G22/C22</f>
        <v>0</v>
      </c>
    </row>
    <row r="23" spans="1:9" ht="15" hidden="1">
      <c r="A23" s="106" t="s">
        <v>92</v>
      </c>
      <c r="B23" s="106"/>
      <c r="C23" s="108">
        <f>3696119+613119</f>
        <v>4309238</v>
      </c>
      <c r="D23" s="106"/>
      <c r="E23" s="108">
        <f>3696119+613119</f>
        <v>4309238</v>
      </c>
      <c r="F23" s="106"/>
      <c r="G23" s="78">
        <f t="shared" si="0"/>
        <v>0</v>
      </c>
      <c r="H23" s="106"/>
      <c r="I23" s="91">
        <f t="shared" si="1"/>
        <v>0</v>
      </c>
    </row>
    <row r="24" spans="1:9" ht="15" hidden="1">
      <c r="A24" s="106" t="s">
        <v>93</v>
      </c>
      <c r="B24" s="106"/>
      <c r="C24" s="108">
        <f>8175283+617970</f>
        <v>8793253</v>
      </c>
      <c r="D24" s="106"/>
      <c r="E24" s="108">
        <f>8175283+617970</f>
        <v>8793253</v>
      </c>
      <c r="F24" s="106"/>
      <c r="G24" s="78">
        <f t="shared" si="0"/>
        <v>0</v>
      </c>
      <c r="H24" s="106"/>
      <c r="I24" s="91">
        <f t="shared" si="1"/>
        <v>0</v>
      </c>
    </row>
    <row r="25" spans="1:9" ht="15" hidden="1">
      <c r="A25" s="106" t="s">
        <v>94</v>
      </c>
      <c r="B25" s="106"/>
      <c r="C25" s="108">
        <f>389150+250487</f>
        <v>639637</v>
      </c>
      <c r="D25" s="106"/>
      <c r="E25" s="108">
        <f>389150+250487</f>
        <v>639637</v>
      </c>
      <c r="F25" s="106"/>
      <c r="G25" s="78">
        <f t="shared" si="0"/>
        <v>0</v>
      </c>
      <c r="H25" s="106"/>
      <c r="I25" s="91">
        <f t="shared" si="1"/>
        <v>0</v>
      </c>
    </row>
    <row r="26" spans="1:9" ht="15" hidden="1">
      <c r="A26" s="106" t="s">
        <v>95</v>
      </c>
      <c r="B26" s="106"/>
      <c r="C26" s="108">
        <f>646224+685372</f>
        <v>1331596</v>
      </c>
      <c r="D26" s="106"/>
      <c r="E26" s="108">
        <f>646224+685372</f>
        <v>1331596</v>
      </c>
      <c r="F26" s="106"/>
      <c r="G26" s="78">
        <f t="shared" si="0"/>
        <v>0</v>
      </c>
      <c r="H26" s="106"/>
      <c r="I26" s="91">
        <f t="shared" si="1"/>
        <v>0</v>
      </c>
    </row>
    <row r="27" spans="1:9" ht="15" hidden="1">
      <c r="A27" s="60" t="s">
        <v>103</v>
      </c>
      <c r="B27" s="106"/>
      <c r="C27" s="108">
        <f>3195+9037</f>
        <v>12232</v>
      </c>
      <c r="D27" s="106"/>
      <c r="E27" s="108">
        <f>3195+9037</f>
        <v>12232</v>
      </c>
      <c r="F27" s="106"/>
      <c r="G27" s="78">
        <f t="shared" si="0"/>
        <v>0</v>
      </c>
      <c r="H27" s="106"/>
      <c r="I27" s="91">
        <f t="shared" si="1"/>
        <v>0</v>
      </c>
    </row>
    <row r="28" spans="1:9" ht="15" hidden="1">
      <c r="A28" s="106" t="s">
        <v>96</v>
      </c>
      <c r="B28" s="106"/>
      <c r="C28" s="108">
        <f>633529+668162</f>
        <v>1301691</v>
      </c>
      <c r="D28" s="106"/>
      <c r="E28" s="108">
        <f>633529+668162</f>
        <v>1301691</v>
      </c>
      <c r="F28" s="106"/>
      <c r="G28" s="78">
        <f t="shared" si="0"/>
        <v>0</v>
      </c>
      <c r="H28" s="106"/>
      <c r="I28" s="91">
        <f t="shared" si="1"/>
        <v>0</v>
      </c>
    </row>
    <row r="29" spans="1:9" ht="15" hidden="1">
      <c r="A29" s="106" t="s">
        <v>97</v>
      </c>
      <c r="B29" s="106"/>
      <c r="C29" s="108">
        <f>216164+295643</f>
        <v>511807</v>
      </c>
      <c r="D29" s="106"/>
      <c r="E29" s="108">
        <f>216164+295643</f>
        <v>511807</v>
      </c>
      <c r="F29" s="106"/>
      <c r="G29" s="78">
        <f t="shared" si="0"/>
        <v>0</v>
      </c>
      <c r="H29" s="106"/>
      <c r="I29" s="91">
        <f t="shared" si="1"/>
        <v>0</v>
      </c>
    </row>
    <row r="30" spans="1:9" ht="15" hidden="1">
      <c r="A30" s="88" t="s">
        <v>98</v>
      </c>
      <c r="B30" s="106"/>
      <c r="C30" s="108">
        <f>26742+13371</f>
        <v>40113</v>
      </c>
      <c r="D30" s="106"/>
      <c r="E30" s="108">
        <f>26742+13371</f>
        <v>40113</v>
      </c>
      <c r="F30" s="106"/>
      <c r="G30" s="78">
        <f t="shared" si="0"/>
        <v>0</v>
      </c>
      <c r="H30" s="106"/>
      <c r="I30" s="91">
        <v>1</v>
      </c>
    </row>
    <row r="31" spans="1:9" ht="15" hidden="1">
      <c r="A31" s="106" t="s">
        <v>99</v>
      </c>
      <c r="B31" s="106"/>
      <c r="C31" s="108">
        <f>318242+453572</f>
        <v>771814</v>
      </c>
      <c r="D31" s="106"/>
      <c r="E31" s="108">
        <f>318242+453572</f>
        <v>771814</v>
      </c>
      <c r="F31" s="106"/>
      <c r="G31" s="78">
        <f t="shared" si="0"/>
        <v>0</v>
      </c>
      <c r="H31" s="106"/>
      <c r="I31" s="91">
        <f>G31/C31</f>
        <v>0</v>
      </c>
    </row>
    <row r="32" spans="1:9" ht="15" hidden="1">
      <c r="A32" s="106" t="s">
        <v>100</v>
      </c>
      <c r="B32" s="106"/>
      <c r="C32" s="108">
        <f>1285289+619723</f>
        <v>1905012</v>
      </c>
      <c r="D32" s="106"/>
      <c r="E32" s="108">
        <f>1285289+619723</f>
        <v>1905012</v>
      </c>
      <c r="F32" s="106"/>
      <c r="G32" s="78">
        <f t="shared" si="0"/>
        <v>0</v>
      </c>
      <c r="H32" s="106"/>
      <c r="I32" s="91">
        <f>G32/C32</f>
        <v>0</v>
      </c>
    </row>
    <row r="33" spans="1:9" ht="15.75" hidden="1" thickBot="1">
      <c r="A33" s="106" t="s">
        <v>74</v>
      </c>
      <c r="B33" s="106"/>
      <c r="C33" s="110">
        <f>SUM(C22:C32)</f>
        <v>37585197</v>
      </c>
      <c r="D33" s="106"/>
      <c r="E33" s="110">
        <f>SUM(E22:E32)</f>
        <v>37585197</v>
      </c>
      <c r="F33" s="106"/>
      <c r="G33" s="110">
        <f>SUM(G22:G32)</f>
        <v>0</v>
      </c>
      <c r="H33" s="106"/>
      <c r="I33" s="97">
        <f>G33/C33</f>
        <v>0</v>
      </c>
    </row>
    <row r="34" spans="1:9" ht="15">
      <c r="A34" s="106"/>
      <c r="B34" s="106"/>
      <c r="C34" s="78"/>
      <c r="D34" s="106"/>
      <c r="E34" s="78"/>
      <c r="F34" s="106"/>
      <c r="G34" s="78"/>
      <c r="H34" s="106"/>
      <c r="I34" s="107"/>
    </row>
    <row r="35" spans="1:9" ht="15">
      <c r="A35" s="60" t="s">
        <v>123</v>
      </c>
      <c r="B35" s="106"/>
      <c r="C35" s="78"/>
      <c r="D35" s="106"/>
      <c r="E35" s="78"/>
      <c r="F35" s="106"/>
      <c r="G35" s="78"/>
      <c r="H35" s="106"/>
      <c r="I35" s="107"/>
    </row>
    <row r="36" spans="1:9" ht="9" customHeight="1">
      <c r="A36" s="60"/>
      <c r="B36" s="106"/>
      <c r="C36" s="78"/>
      <c r="D36" s="106"/>
      <c r="E36" s="78"/>
      <c r="F36" s="106"/>
      <c r="G36" s="78"/>
      <c r="H36" s="106"/>
      <c r="I36" s="107"/>
    </row>
    <row r="37" spans="1:9" ht="15">
      <c r="A37" s="106" t="s">
        <v>104</v>
      </c>
      <c r="B37" s="106"/>
      <c r="C37" s="111">
        <v>51395271</v>
      </c>
      <c r="D37" s="106"/>
      <c r="E37" s="111">
        <v>46918696</v>
      </c>
      <c r="F37" s="106"/>
      <c r="G37" s="78">
        <f>E37-C37</f>
        <v>-4476575</v>
      </c>
      <c r="H37" s="106"/>
      <c r="I37" s="91">
        <f>(E37-C37)/C37</f>
        <v>-0.08710091245554479</v>
      </c>
    </row>
    <row r="38" spans="1:9" ht="6.75" customHeight="1">
      <c r="A38" s="106"/>
      <c r="B38" s="106"/>
      <c r="C38" s="111"/>
      <c r="D38" s="106"/>
      <c r="E38" s="111"/>
      <c r="F38" s="106"/>
      <c r="G38" s="78"/>
      <c r="H38" s="106"/>
      <c r="I38" s="91"/>
    </row>
    <row r="39" spans="1:9" s="112" customFormat="1" ht="18.75" thickBot="1">
      <c r="A39" s="112" t="s">
        <v>46</v>
      </c>
      <c r="C39" s="85">
        <f>SUM(C37:C37)</f>
        <v>51395271</v>
      </c>
      <c r="D39" s="86"/>
      <c r="E39" s="85">
        <f>SUM(E37:E37)</f>
        <v>46918696</v>
      </c>
      <c r="G39" s="113">
        <f>SUM(G37:G37)</f>
        <v>-4476575</v>
      </c>
      <c r="I39" s="100">
        <f>(E39-C39)/C39</f>
        <v>-0.08710091245554479</v>
      </c>
    </row>
    <row r="40" spans="1:9" ht="15.75" thickTop="1">
      <c r="A40" s="106"/>
      <c r="B40" s="106"/>
      <c r="C40" s="78"/>
      <c r="D40" s="106"/>
      <c r="E40" s="78"/>
      <c r="F40" s="106"/>
      <c r="G40" s="78"/>
      <c r="H40" s="106"/>
      <c r="I40" s="107"/>
    </row>
    <row r="41" spans="1:9" ht="15">
      <c r="A41" s="106"/>
      <c r="B41" s="106"/>
      <c r="C41" s="78"/>
      <c r="D41" s="106"/>
      <c r="E41" s="78"/>
      <c r="F41" s="106"/>
      <c r="G41" s="78"/>
      <c r="H41" s="106"/>
      <c r="I41" s="107"/>
    </row>
    <row r="42" spans="1:9" ht="15">
      <c r="A42" s="106"/>
      <c r="B42" s="106"/>
      <c r="C42" s="78"/>
      <c r="D42" s="106"/>
      <c r="E42" s="78"/>
      <c r="F42" s="106"/>
      <c r="G42" s="78"/>
      <c r="H42" s="106"/>
      <c r="I42" s="107"/>
    </row>
    <row r="43" spans="1:9" ht="15">
      <c r="A43" s="106"/>
      <c r="B43" s="106"/>
      <c r="C43" s="78"/>
      <c r="D43" s="106"/>
      <c r="E43" s="78"/>
      <c r="F43" s="106"/>
      <c r="G43" s="78"/>
      <c r="H43" s="106"/>
      <c r="I43" s="107"/>
    </row>
    <row r="44" spans="1:9" ht="15">
      <c r="A44" s="106"/>
      <c r="B44" s="106"/>
      <c r="C44" s="78"/>
      <c r="D44" s="106"/>
      <c r="E44" s="78"/>
      <c r="F44" s="106"/>
      <c r="G44" s="78"/>
      <c r="H44" s="106"/>
      <c r="I44" s="107"/>
    </row>
  </sheetData>
  <sheetProtection/>
  <printOptions horizontalCentered="1"/>
  <pageMargins left="1" right="1" top="1" bottom="1" header="0.5" footer="0.5"/>
  <pageSetup fitToHeight="1" fitToWidth="1" horizontalDpi="300" verticalDpi="300" orientation="landscape" scale="84" r:id="rId1"/>
  <headerFooter alignWithMargins="0">
    <oddHeader>&amp;C
&amp;"Arial,Bold"&amp;18OKLAHOMA COOPERATIVE EXTENSION SERVICE
SUMMARY OF REVENUE &amp;&amp; EXPENDITURES
Education &amp;&amp; General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zoomScale="85" zoomScaleNormal="85" zoomScalePageLayoutView="0" workbookViewId="0" topLeftCell="A4">
      <selection activeCell="E9" sqref="E9:E11"/>
    </sheetView>
  </sheetViews>
  <sheetFormatPr defaultColWidth="9.140625" defaultRowHeight="12.75"/>
  <cols>
    <col min="1" max="1" width="54.421875" style="39" customWidth="1"/>
    <col min="2" max="2" width="9.140625" style="39" customWidth="1"/>
    <col min="3" max="3" width="20.7109375" style="35" customWidth="1"/>
    <col min="4" max="4" width="9.140625" style="39" customWidth="1"/>
    <col min="5" max="5" width="20.7109375" style="35" customWidth="1"/>
    <col min="6" max="6" width="9.140625" style="39" customWidth="1"/>
    <col min="7" max="7" width="13.57421875" style="27" hidden="1" customWidth="1"/>
    <col min="8" max="8" width="0" style="39" hidden="1" customWidth="1"/>
    <col min="9" max="9" width="16.57421875" style="31" customWidth="1"/>
    <col min="10" max="16384" width="9.140625" style="39" customWidth="1"/>
  </cols>
  <sheetData>
    <row r="1" spans="1:9" ht="90" customHeight="1">
      <c r="A1" s="25"/>
      <c r="B1" s="37"/>
      <c r="C1" s="2"/>
      <c r="D1" s="37"/>
      <c r="E1" s="2"/>
      <c r="F1" s="37"/>
      <c r="G1" s="26"/>
      <c r="H1" s="37"/>
      <c r="I1" s="38"/>
    </row>
    <row r="2" spans="3:9" ht="15.75">
      <c r="C2" s="62"/>
      <c r="D2" s="62"/>
      <c r="E2" s="62"/>
      <c r="F2" s="62"/>
      <c r="G2" s="63" t="s">
        <v>47</v>
      </c>
      <c r="H2" s="61"/>
      <c r="I2" s="64" t="s">
        <v>124</v>
      </c>
    </row>
    <row r="3" spans="3:9" ht="15.75">
      <c r="C3" s="63" t="s">
        <v>130</v>
      </c>
      <c r="D3" s="62"/>
      <c r="E3" s="63" t="s">
        <v>134</v>
      </c>
      <c r="F3" s="62"/>
      <c r="G3" s="63" t="s">
        <v>49</v>
      </c>
      <c r="H3" s="61"/>
      <c r="I3" s="64" t="s">
        <v>49</v>
      </c>
    </row>
    <row r="4" spans="3:9" ht="15.75">
      <c r="C4" s="65" t="s">
        <v>48</v>
      </c>
      <c r="D4" s="62"/>
      <c r="E4" s="65" t="s">
        <v>48</v>
      </c>
      <c r="F4" s="62"/>
      <c r="G4" s="65" t="s">
        <v>50</v>
      </c>
      <c r="H4" s="61"/>
      <c r="I4" s="66" t="s">
        <v>50</v>
      </c>
    </row>
    <row r="5" spans="1:10" ht="15">
      <c r="A5" s="114" t="s">
        <v>51</v>
      </c>
      <c r="B5" s="114"/>
      <c r="C5" s="78"/>
      <c r="D5" s="114"/>
      <c r="E5" s="78"/>
      <c r="F5" s="114"/>
      <c r="G5" s="67"/>
      <c r="H5" s="114"/>
      <c r="I5" s="91"/>
      <c r="J5" s="114"/>
    </row>
    <row r="6" spans="1:10" ht="6.75" customHeight="1">
      <c r="A6" s="114"/>
      <c r="B6" s="114"/>
      <c r="C6" s="78"/>
      <c r="D6" s="114"/>
      <c r="E6" s="78"/>
      <c r="F6" s="114"/>
      <c r="G6" s="67"/>
      <c r="H6" s="114"/>
      <c r="I6" s="91"/>
      <c r="J6" s="114"/>
    </row>
    <row r="7" spans="1:10" ht="15">
      <c r="A7" s="114" t="s">
        <v>83</v>
      </c>
      <c r="B7" s="114"/>
      <c r="C7" s="84">
        <v>14784510</v>
      </c>
      <c r="D7" s="84"/>
      <c r="E7" s="84">
        <v>14038756</v>
      </c>
      <c r="F7" s="114"/>
      <c r="G7" s="67">
        <f aca="true" t="shared" si="0" ref="G7:G14">E7-C7</f>
        <v>-745754</v>
      </c>
      <c r="H7" s="114"/>
      <c r="I7" s="91">
        <f>(E7-C7)/C7</f>
        <v>-0.050441577028930956</v>
      </c>
      <c r="J7" s="114"/>
    </row>
    <row r="8" spans="1:10" ht="15">
      <c r="A8" s="114" t="s">
        <v>105</v>
      </c>
      <c r="B8" s="114"/>
      <c r="C8" s="108">
        <v>9252731</v>
      </c>
      <c r="D8" s="114"/>
      <c r="E8" s="108">
        <f>7725576+1496170+1659860</f>
        <v>10881606</v>
      </c>
      <c r="F8" s="114"/>
      <c r="G8" s="67">
        <f t="shared" si="0"/>
        <v>1628875</v>
      </c>
      <c r="H8" s="114"/>
      <c r="I8" s="91">
        <f>(E8-C8)/C8</f>
        <v>0.17604261920075273</v>
      </c>
      <c r="J8" s="114"/>
    </row>
    <row r="9" spans="1:10" ht="15">
      <c r="A9" s="114" t="s">
        <v>106</v>
      </c>
      <c r="B9" s="114"/>
      <c r="C9" s="108">
        <f>527750+101222</f>
        <v>628972</v>
      </c>
      <c r="D9" s="114"/>
      <c r="E9" s="108">
        <f>772842+120084</f>
        <v>892926</v>
      </c>
      <c r="F9" s="114"/>
      <c r="G9" s="67">
        <f t="shared" si="0"/>
        <v>263954</v>
      </c>
      <c r="H9" s="114"/>
      <c r="I9" s="91">
        <f>(E9-C9)/C9</f>
        <v>0.41965938070375153</v>
      </c>
      <c r="J9" s="114"/>
    </row>
    <row r="10" spans="1:10" ht="15">
      <c r="A10" s="116" t="s">
        <v>118</v>
      </c>
      <c r="B10" s="114"/>
      <c r="C10" s="108">
        <v>14100</v>
      </c>
      <c r="D10" s="114"/>
      <c r="E10" s="108">
        <v>14000</v>
      </c>
      <c r="F10" s="114"/>
      <c r="G10" s="67"/>
      <c r="H10" s="114"/>
      <c r="I10" s="91">
        <v>1</v>
      </c>
      <c r="J10" s="114"/>
    </row>
    <row r="11" spans="1:10" ht="15">
      <c r="A11" s="114" t="s">
        <v>108</v>
      </c>
      <c r="B11" s="114"/>
      <c r="C11" s="108">
        <v>92850</v>
      </c>
      <c r="D11" s="114"/>
      <c r="E11" s="108">
        <v>41000</v>
      </c>
      <c r="F11" s="114"/>
      <c r="G11" s="67">
        <f t="shared" si="0"/>
        <v>-51850</v>
      </c>
      <c r="H11" s="114"/>
      <c r="I11" s="91">
        <f>(E11-C11)/C11</f>
        <v>-0.5584275713516424</v>
      </c>
      <c r="J11" s="114"/>
    </row>
    <row r="12" spans="1:10" ht="15">
      <c r="A12" s="88" t="s">
        <v>132</v>
      </c>
      <c r="B12" s="114"/>
      <c r="C12" s="108">
        <v>1169884</v>
      </c>
      <c r="D12" s="114"/>
      <c r="E12" s="108">
        <v>1016872</v>
      </c>
      <c r="F12" s="114"/>
      <c r="G12" s="67">
        <f t="shared" si="0"/>
        <v>-153012</v>
      </c>
      <c r="H12" s="114"/>
      <c r="I12" s="91">
        <v>1</v>
      </c>
      <c r="J12" s="114"/>
    </row>
    <row r="13" spans="1:10" ht="6.75" customHeight="1">
      <c r="A13" s="114"/>
      <c r="B13" s="114"/>
      <c r="C13" s="108"/>
      <c r="D13" s="114"/>
      <c r="E13" s="108"/>
      <c r="F13" s="114"/>
      <c r="G13" s="67"/>
      <c r="H13" s="114"/>
      <c r="I13" s="91"/>
      <c r="J13" s="114"/>
    </row>
    <row r="14" spans="1:10" ht="15">
      <c r="A14" s="114" t="s">
        <v>29</v>
      </c>
      <c r="B14" s="114"/>
      <c r="C14" s="87">
        <f>SUM(C7:C12)</f>
        <v>25943047</v>
      </c>
      <c r="D14" s="84"/>
      <c r="E14" s="87">
        <f>SUM(E7:E12)</f>
        <v>26885160</v>
      </c>
      <c r="F14" s="114"/>
      <c r="G14" s="70">
        <f t="shared" si="0"/>
        <v>942113</v>
      </c>
      <c r="H14" s="114"/>
      <c r="I14" s="95">
        <f>(E14-C14)/C14</f>
        <v>0.03631466265315712</v>
      </c>
      <c r="J14" s="114"/>
    </row>
    <row r="15" spans="1:10" ht="15">
      <c r="A15" s="114"/>
      <c r="B15" s="114"/>
      <c r="C15" s="79"/>
      <c r="D15" s="114"/>
      <c r="E15" s="79"/>
      <c r="F15" s="114"/>
      <c r="G15" s="72"/>
      <c r="H15" s="114"/>
      <c r="I15" s="96"/>
      <c r="J15" s="114"/>
    </row>
    <row r="16" spans="1:10" ht="15">
      <c r="A16" s="114" t="s">
        <v>30</v>
      </c>
      <c r="B16" s="114"/>
      <c r="C16" s="79">
        <v>855370</v>
      </c>
      <c r="D16" s="114"/>
      <c r="E16" s="79">
        <v>1108900</v>
      </c>
      <c r="F16" s="114"/>
      <c r="G16" s="67">
        <f>E16-C16</f>
        <v>253530</v>
      </c>
      <c r="H16" s="114"/>
      <c r="I16" s="91">
        <f>(E16-C16)/C16</f>
        <v>0.29639804996668107</v>
      </c>
      <c r="J16" s="114"/>
    </row>
    <row r="17" spans="1:10" ht="15">
      <c r="A17" s="114"/>
      <c r="B17" s="114"/>
      <c r="C17" s="78"/>
      <c r="D17" s="114"/>
      <c r="E17" s="78"/>
      <c r="F17" s="114"/>
      <c r="G17" s="67"/>
      <c r="H17" s="114"/>
      <c r="I17" s="91"/>
      <c r="J17" s="114"/>
    </row>
    <row r="18" spans="1:9" s="115" customFormat="1" ht="18.75" thickBot="1">
      <c r="A18" s="115" t="s">
        <v>35</v>
      </c>
      <c r="C18" s="85">
        <f>C14+C16</f>
        <v>26798417</v>
      </c>
      <c r="D18" s="86"/>
      <c r="E18" s="85">
        <f>E14+E16</f>
        <v>27994060</v>
      </c>
      <c r="G18" s="82">
        <f>G14+G16</f>
        <v>1195643</v>
      </c>
      <c r="I18" s="100">
        <f>(E18-C18)/C18</f>
        <v>0.04461618012735603</v>
      </c>
    </row>
    <row r="19" spans="1:10" ht="15.75" thickTop="1">
      <c r="A19" s="114"/>
      <c r="B19" s="114"/>
      <c r="C19" s="78"/>
      <c r="D19" s="114"/>
      <c r="E19" s="78"/>
      <c r="F19" s="114"/>
      <c r="G19" s="67"/>
      <c r="H19" s="114"/>
      <c r="I19" s="91"/>
      <c r="J19" s="114"/>
    </row>
    <row r="20" spans="1:10" ht="15" hidden="1">
      <c r="A20" s="114" t="s">
        <v>59</v>
      </c>
      <c r="B20" s="114"/>
      <c r="C20" s="78"/>
      <c r="D20" s="114"/>
      <c r="E20" s="78"/>
      <c r="F20" s="114"/>
      <c r="G20" s="67"/>
      <c r="H20" s="114"/>
      <c r="I20" s="91"/>
      <c r="J20" s="114"/>
    </row>
    <row r="21" spans="1:10" ht="15" hidden="1">
      <c r="A21" s="114" t="s">
        <v>109</v>
      </c>
      <c r="B21" s="114"/>
      <c r="C21" s="108">
        <v>6245919</v>
      </c>
      <c r="D21" s="114"/>
      <c r="E21" s="108">
        <v>6245919</v>
      </c>
      <c r="F21" s="114"/>
      <c r="G21" s="67">
        <f aca="true" t="shared" si="1" ref="G21:G34">E21-C21</f>
        <v>0</v>
      </c>
      <c r="H21" s="114"/>
      <c r="I21" s="91">
        <f aca="true" t="shared" si="2" ref="I21:I34">G21/C21</f>
        <v>0</v>
      </c>
      <c r="J21" s="114"/>
    </row>
    <row r="22" spans="1:10" ht="15" hidden="1">
      <c r="A22" s="114" t="s">
        <v>91</v>
      </c>
      <c r="B22" s="114"/>
      <c r="C22" s="108">
        <v>3396924</v>
      </c>
      <c r="D22" s="114"/>
      <c r="E22" s="108">
        <v>3396924</v>
      </c>
      <c r="F22" s="114"/>
      <c r="G22" s="67">
        <f t="shared" si="1"/>
        <v>0</v>
      </c>
      <c r="H22" s="114"/>
      <c r="I22" s="91">
        <f t="shared" si="2"/>
        <v>0</v>
      </c>
      <c r="J22" s="114"/>
    </row>
    <row r="23" spans="1:10" ht="15" hidden="1">
      <c r="A23" s="114" t="s">
        <v>92</v>
      </c>
      <c r="B23" s="114"/>
      <c r="C23" s="108">
        <v>2054035</v>
      </c>
      <c r="D23" s="114"/>
      <c r="E23" s="108">
        <v>2054035</v>
      </c>
      <c r="F23" s="114"/>
      <c r="G23" s="67">
        <f t="shared" si="1"/>
        <v>0</v>
      </c>
      <c r="H23" s="114"/>
      <c r="I23" s="91">
        <f t="shared" si="2"/>
        <v>0</v>
      </c>
      <c r="J23" s="114"/>
    </row>
    <row r="24" spans="1:10" ht="15" hidden="1">
      <c r="A24" s="114" t="s">
        <v>93</v>
      </c>
      <c r="B24" s="114"/>
      <c r="C24" s="108">
        <v>4456429</v>
      </c>
      <c r="D24" s="114"/>
      <c r="E24" s="108">
        <v>4456429</v>
      </c>
      <c r="F24" s="114"/>
      <c r="G24" s="67">
        <f t="shared" si="1"/>
        <v>0</v>
      </c>
      <c r="H24" s="114"/>
      <c r="I24" s="91">
        <f t="shared" si="2"/>
        <v>0</v>
      </c>
      <c r="J24" s="114"/>
    </row>
    <row r="25" spans="1:10" ht="15" hidden="1">
      <c r="A25" s="114" t="s">
        <v>94</v>
      </c>
      <c r="B25" s="114"/>
      <c r="C25" s="108">
        <v>2393876</v>
      </c>
      <c r="D25" s="114"/>
      <c r="E25" s="108">
        <v>2393876</v>
      </c>
      <c r="F25" s="114"/>
      <c r="G25" s="67">
        <f t="shared" si="1"/>
        <v>0</v>
      </c>
      <c r="H25" s="114"/>
      <c r="I25" s="91">
        <f t="shared" si="2"/>
        <v>0</v>
      </c>
      <c r="J25" s="114"/>
    </row>
    <row r="26" spans="1:10" ht="15" hidden="1">
      <c r="A26" s="114" t="s">
        <v>95</v>
      </c>
      <c r="B26" s="114"/>
      <c r="C26" s="108">
        <v>734488</v>
      </c>
      <c r="D26" s="114"/>
      <c r="E26" s="108">
        <v>734488</v>
      </c>
      <c r="F26" s="114"/>
      <c r="G26" s="67">
        <f t="shared" si="1"/>
        <v>0</v>
      </c>
      <c r="H26" s="114"/>
      <c r="I26" s="91">
        <f t="shared" si="2"/>
        <v>0</v>
      </c>
      <c r="J26" s="114"/>
    </row>
    <row r="27" spans="1:10" ht="15" hidden="1">
      <c r="A27" s="114" t="s">
        <v>103</v>
      </c>
      <c r="B27" s="114"/>
      <c r="C27" s="108">
        <v>100000</v>
      </c>
      <c r="D27" s="114"/>
      <c r="E27" s="108">
        <v>100000</v>
      </c>
      <c r="F27" s="114"/>
      <c r="G27" s="67">
        <f t="shared" si="1"/>
        <v>0</v>
      </c>
      <c r="H27" s="114"/>
      <c r="I27" s="91">
        <f t="shared" si="2"/>
        <v>0</v>
      </c>
      <c r="J27" s="114"/>
    </row>
    <row r="28" spans="1:10" ht="15" hidden="1">
      <c r="A28" s="114" t="s">
        <v>96</v>
      </c>
      <c r="B28" s="114"/>
      <c r="C28" s="108">
        <v>272853</v>
      </c>
      <c r="D28" s="114"/>
      <c r="E28" s="108">
        <v>272853</v>
      </c>
      <c r="F28" s="114"/>
      <c r="G28" s="67">
        <f t="shared" si="1"/>
        <v>0</v>
      </c>
      <c r="H28" s="114"/>
      <c r="I28" s="91">
        <f t="shared" si="2"/>
        <v>0</v>
      </c>
      <c r="J28" s="114"/>
    </row>
    <row r="29" spans="1:10" ht="15" hidden="1">
      <c r="A29" s="114" t="s">
        <v>97</v>
      </c>
      <c r="B29" s="114"/>
      <c r="C29" s="108">
        <v>312000</v>
      </c>
      <c r="D29" s="114"/>
      <c r="E29" s="108">
        <v>312000</v>
      </c>
      <c r="F29" s="114"/>
      <c r="G29" s="67">
        <f t="shared" si="1"/>
        <v>0</v>
      </c>
      <c r="H29" s="114"/>
      <c r="I29" s="91">
        <f t="shared" si="2"/>
        <v>0</v>
      </c>
      <c r="J29" s="114"/>
    </row>
    <row r="30" spans="1:10" ht="15" hidden="1">
      <c r="A30" s="114" t="s">
        <v>98</v>
      </c>
      <c r="B30" s="114"/>
      <c r="C30" s="108">
        <v>844148</v>
      </c>
      <c r="D30" s="114"/>
      <c r="E30" s="108">
        <v>844148</v>
      </c>
      <c r="F30" s="114"/>
      <c r="G30" s="67">
        <f t="shared" si="1"/>
        <v>0</v>
      </c>
      <c r="H30" s="114"/>
      <c r="I30" s="91">
        <f t="shared" si="2"/>
        <v>0</v>
      </c>
      <c r="J30" s="114"/>
    </row>
    <row r="31" spans="1:10" ht="15" hidden="1">
      <c r="A31" s="114" t="s">
        <v>110</v>
      </c>
      <c r="B31" s="114"/>
      <c r="C31" s="108">
        <v>595664</v>
      </c>
      <c r="D31" s="114"/>
      <c r="E31" s="108">
        <v>595664</v>
      </c>
      <c r="F31" s="114"/>
      <c r="G31" s="67">
        <f t="shared" si="1"/>
        <v>0</v>
      </c>
      <c r="H31" s="114"/>
      <c r="I31" s="91">
        <f t="shared" si="2"/>
        <v>0</v>
      </c>
      <c r="J31" s="114"/>
    </row>
    <row r="32" spans="1:10" ht="15" hidden="1">
      <c r="A32" s="114" t="s">
        <v>99</v>
      </c>
      <c r="B32" s="114"/>
      <c r="C32" s="108">
        <v>659794</v>
      </c>
      <c r="D32" s="114"/>
      <c r="E32" s="108">
        <v>659794</v>
      </c>
      <c r="F32" s="114"/>
      <c r="G32" s="67">
        <f t="shared" si="1"/>
        <v>0</v>
      </c>
      <c r="H32" s="114"/>
      <c r="I32" s="91">
        <f t="shared" si="2"/>
        <v>0</v>
      </c>
      <c r="J32" s="114"/>
    </row>
    <row r="33" spans="1:10" ht="15" hidden="1">
      <c r="A33" s="114" t="s">
        <v>100</v>
      </c>
      <c r="B33" s="114"/>
      <c r="C33" s="108">
        <v>562750</v>
      </c>
      <c r="D33" s="114"/>
      <c r="E33" s="108">
        <v>562750</v>
      </c>
      <c r="F33" s="114"/>
      <c r="G33" s="67">
        <f t="shared" si="1"/>
        <v>0</v>
      </c>
      <c r="H33" s="114"/>
      <c r="I33" s="91">
        <f t="shared" si="2"/>
        <v>0</v>
      </c>
      <c r="J33" s="114"/>
    </row>
    <row r="34" spans="1:10" ht="15.75" hidden="1" thickBot="1">
      <c r="A34" s="114" t="s">
        <v>74</v>
      </c>
      <c r="B34" s="114"/>
      <c r="C34" s="110">
        <f>SUM(C21:C33)</f>
        <v>22628880</v>
      </c>
      <c r="D34" s="114"/>
      <c r="E34" s="110">
        <f>SUM(E21:E33)</f>
        <v>22628880</v>
      </c>
      <c r="F34" s="114"/>
      <c r="G34" s="74">
        <f t="shared" si="1"/>
        <v>0</v>
      </c>
      <c r="H34" s="114"/>
      <c r="I34" s="97">
        <f t="shared" si="2"/>
        <v>0</v>
      </c>
      <c r="J34" s="114"/>
    </row>
    <row r="35" spans="1:10" ht="15">
      <c r="A35" s="114"/>
      <c r="B35" s="114"/>
      <c r="C35" s="78"/>
      <c r="D35" s="114"/>
      <c r="E35" s="78"/>
      <c r="F35" s="114"/>
      <c r="G35" s="67"/>
      <c r="H35" s="114"/>
      <c r="I35" s="91"/>
      <c r="J35" s="114"/>
    </row>
    <row r="36" spans="1:10" ht="15">
      <c r="A36" s="60" t="s">
        <v>123</v>
      </c>
      <c r="B36" s="114"/>
      <c r="C36" s="78"/>
      <c r="D36" s="114"/>
      <c r="E36" s="78"/>
      <c r="F36" s="114"/>
      <c r="G36" s="67"/>
      <c r="H36" s="114"/>
      <c r="I36" s="91"/>
      <c r="J36" s="114"/>
    </row>
    <row r="37" spans="1:10" ht="6" customHeight="1">
      <c r="A37" s="60"/>
      <c r="B37" s="114"/>
      <c r="C37" s="78"/>
      <c r="D37" s="114"/>
      <c r="E37" s="78"/>
      <c r="F37" s="114"/>
      <c r="G37" s="67"/>
      <c r="H37" s="114"/>
      <c r="I37" s="91"/>
      <c r="J37" s="114"/>
    </row>
    <row r="38" spans="1:10" ht="15">
      <c r="A38" s="114" t="s">
        <v>111</v>
      </c>
      <c r="B38" s="114"/>
      <c r="C38" s="84">
        <v>12788327</v>
      </c>
      <c r="D38" s="84"/>
      <c r="E38" s="84">
        <v>13324123</v>
      </c>
      <c r="F38" s="114"/>
      <c r="G38" s="67">
        <f aca="true" t="shared" si="3" ref="G38:G46">E38-C38</f>
        <v>535796</v>
      </c>
      <c r="H38" s="114"/>
      <c r="I38" s="91">
        <f aca="true" t="shared" si="4" ref="I38:I44">(E38-C38)/C38</f>
        <v>0.041897270847077964</v>
      </c>
      <c r="J38" s="114"/>
    </row>
    <row r="39" spans="1:10" ht="15">
      <c r="A39" s="114" t="s">
        <v>112</v>
      </c>
      <c r="B39" s="114"/>
      <c r="C39" s="78">
        <v>954741</v>
      </c>
      <c r="D39" s="114"/>
      <c r="E39" s="78">
        <v>925263</v>
      </c>
      <c r="F39" s="114"/>
      <c r="G39" s="67">
        <f t="shared" si="3"/>
        <v>-29478</v>
      </c>
      <c r="H39" s="114"/>
      <c r="I39" s="91">
        <f t="shared" si="4"/>
        <v>-0.03087538924168963</v>
      </c>
      <c r="J39" s="114"/>
    </row>
    <row r="40" spans="1:10" ht="15">
      <c r="A40" s="114" t="s">
        <v>113</v>
      </c>
      <c r="B40" s="114"/>
      <c r="C40" s="78">
        <f>3380158-C39</f>
        <v>2425417</v>
      </c>
      <c r="D40" s="114"/>
      <c r="E40" s="78">
        <f>3887007-E39</f>
        <v>2961744</v>
      </c>
      <c r="F40" s="114"/>
      <c r="G40" s="67">
        <f t="shared" si="3"/>
        <v>536327</v>
      </c>
      <c r="H40" s="114"/>
      <c r="I40" s="91">
        <f t="shared" si="4"/>
        <v>0.22112774834183152</v>
      </c>
      <c r="J40" s="114"/>
    </row>
    <row r="41" spans="1:10" ht="15">
      <c r="A41" s="114" t="s">
        <v>114</v>
      </c>
      <c r="B41" s="114"/>
      <c r="C41" s="78">
        <v>1745552</v>
      </c>
      <c r="D41" s="114"/>
      <c r="E41" s="78">
        <v>1765511</v>
      </c>
      <c r="F41" s="114"/>
      <c r="G41" s="67">
        <f t="shared" si="3"/>
        <v>19959</v>
      </c>
      <c r="H41" s="114"/>
      <c r="I41" s="91">
        <f t="shared" si="4"/>
        <v>0.011434205340201838</v>
      </c>
      <c r="J41" s="114"/>
    </row>
    <row r="42" spans="1:10" ht="15">
      <c r="A42" s="114" t="s">
        <v>115</v>
      </c>
      <c r="B42" s="114"/>
      <c r="C42" s="78">
        <v>2661363</v>
      </c>
      <c r="D42" s="114"/>
      <c r="E42" s="78">
        <v>2677945</v>
      </c>
      <c r="F42" s="114"/>
      <c r="G42" s="67">
        <f t="shared" si="3"/>
        <v>16582</v>
      </c>
      <c r="H42" s="114"/>
      <c r="I42" s="91">
        <f t="shared" si="4"/>
        <v>0.006230641968044194</v>
      </c>
      <c r="J42" s="114"/>
    </row>
    <row r="43" spans="1:10" ht="15">
      <c r="A43" s="114" t="s">
        <v>116</v>
      </c>
      <c r="B43" s="114"/>
      <c r="C43" s="79">
        <v>4523017</v>
      </c>
      <c r="D43" s="114"/>
      <c r="E43" s="79">
        <v>4539474</v>
      </c>
      <c r="F43" s="114"/>
      <c r="G43" s="67">
        <f t="shared" si="3"/>
        <v>16457</v>
      </c>
      <c r="H43" s="114"/>
      <c r="I43" s="91">
        <f t="shared" si="4"/>
        <v>0.0036385005848972047</v>
      </c>
      <c r="J43" s="114"/>
    </row>
    <row r="44" spans="1:10" ht="15">
      <c r="A44" s="114" t="s">
        <v>110</v>
      </c>
      <c r="B44" s="114"/>
      <c r="C44" s="79">
        <v>1700000</v>
      </c>
      <c r="D44" s="114"/>
      <c r="E44" s="79">
        <v>1800000</v>
      </c>
      <c r="F44" s="114"/>
      <c r="G44" s="67">
        <f t="shared" si="3"/>
        <v>100000</v>
      </c>
      <c r="H44" s="114"/>
      <c r="I44" s="91">
        <f t="shared" si="4"/>
        <v>0.058823529411764705</v>
      </c>
      <c r="J44" s="114"/>
    </row>
    <row r="45" spans="1:10" ht="6" customHeight="1">
      <c r="A45" s="114"/>
      <c r="B45" s="114"/>
      <c r="C45" s="79"/>
      <c r="D45" s="114"/>
      <c r="E45" s="79"/>
      <c r="F45" s="114"/>
      <c r="G45" s="67"/>
      <c r="H45" s="114"/>
      <c r="I45" s="91"/>
      <c r="J45" s="114"/>
    </row>
    <row r="46" spans="1:9" s="115" customFormat="1" ht="18.75" thickBot="1">
      <c r="A46" s="112" t="s">
        <v>46</v>
      </c>
      <c r="C46" s="85">
        <f>SUM(C38:C44)</f>
        <v>26798417</v>
      </c>
      <c r="D46" s="86"/>
      <c r="E46" s="85">
        <f>SUM(E38:E44)</f>
        <v>27994060</v>
      </c>
      <c r="G46" s="82">
        <f t="shared" si="3"/>
        <v>1195643</v>
      </c>
      <c r="I46" s="100">
        <f>(E46-C46)/C46</f>
        <v>0.04461618012735603</v>
      </c>
    </row>
    <row r="47" spans="1:10" ht="15.75" thickTop="1">
      <c r="A47" s="114"/>
      <c r="B47" s="114"/>
      <c r="C47" s="78"/>
      <c r="D47" s="114"/>
      <c r="E47" s="78"/>
      <c r="F47" s="114"/>
      <c r="G47" s="67"/>
      <c r="H47" s="114"/>
      <c r="I47" s="91"/>
      <c r="J47" s="114"/>
    </row>
    <row r="48" spans="1:10" ht="15">
      <c r="A48" s="114"/>
      <c r="B48" s="114"/>
      <c r="C48" s="78"/>
      <c r="D48" s="114"/>
      <c r="E48" s="78"/>
      <c r="F48" s="114"/>
      <c r="G48" s="67"/>
      <c r="H48" s="114"/>
      <c r="I48" s="91"/>
      <c r="J48" s="114"/>
    </row>
    <row r="49" spans="1:10" ht="15">
      <c r="A49" s="114"/>
      <c r="B49" s="114"/>
      <c r="C49" s="78"/>
      <c r="D49" s="114"/>
      <c r="E49" s="78"/>
      <c r="F49" s="114"/>
      <c r="G49" s="67"/>
      <c r="H49" s="114"/>
      <c r="I49" s="91"/>
      <c r="J49" s="114"/>
    </row>
    <row r="50" spans="1:10" ht="15">
      <c r="A50" s="114"/>
      <c r="B50" s="114"/>
      <c r="C50" s="78"/>
      <c r="D50" s="114"/>
      <c r="E50" s="78"/>
      <c r="F50" s="114"/>
      <c r="G50" s="67"/>
      <c r="H50" s="114"/>
      <c r="I50" s="91"/>
      <c r="J50" s="114"/>
    </row>
  </sheetData>
  <sheetProtection/>
  <printOptions horizontalCentered="1"/>
  <pageMargins left="1" right="1" top="1" bottom="1" header="0.5" footer="0.5"/>
  <pageSetup fitToHeight="1" fitToWidth="1" horizontalDpi="300" verticalDpi="300" orientation="landscape" scale="84" r:id="rId1"/>
  <headerFooter alignWithMargins="0">
    <oddHeader>&amp;C
&amp;"Arial,Bold"&amp;18INSTITUTE OF TECHNOLOGY - OKMULGEE
SUMMARY OF REVENUE &amp;&amp; EXPENDITURES
Education &amp;&amp; General</oddHeader>
    <oddFooter xml:space="preserve">&amp;C 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="85" zoomScaleNormal="85" zoomScalePageLayoutView="0" workbookViewId="0" topLeftCell="A5">
      <selection activeCell="A10" sqref="A10"/>
    </sheetView>
  </sheetViews>
  <sheetFormatPr defaultColWidth="9.140625" defaultRowHeight="12.75"/>
  <cols>
    <col min="1" max="1" width="54.421875" style="42" customWidth="1"/>
    <col min="2" max="2" width="9.140625" style="42" customWidth="1"/>
    <col min="3" max="3" width="20.7109375" style="27" customWidth="1"/>
    <col min="4" max="4" width="9.140625" style="43" customWidth="1"/>
    <col min="5" max="5" width="20.7109375" style="27" customWidth="1"/>
    <col min="6" max="6" width="9.140625" style="43" customWidth="1"/>
    <col min="7" max="7" width="13.57421875" style="27" hidden="1" customWidth="1"/>
    <col min="8" max="8" width="0" style="42" hidden="1" customWidth="1"/>
    <col min="9" max="9" width="16.57421875" style="31" customWidth="1"/>
    <col min="10" max="16384" width="9.140625" style="42" customWidth="1"/>
  </cols>
  <sheetData>
    <row r="1" spans="1:9" ht="90.75" customHeight="1">
      <c r="A1" s="25"/>
      <c r="B1" s="40"/>
      <c r="C1" s="26"/>
      <c r="D1" s="41"/>
      <c r="E1" s="26"/>
      <c r="F1" s="41"/>
      <c r="G1" s="26"/>
      <c r="H1" s="40"/>
      <c r="I1" s="38"/>
    </row>
    <row r="3" spans="3:9" ht="15.75">
      <c r="C3" s="62"/>
      <c r="D3" s="62"/>
      <c r="E3" s="62"/>
      <c r="F3" s="62"/>
      <c r="G3" s="63" t="s">
        <v>47</v>
      </c>
      <c r="H3" s="61"/>
      <c r="I3" s="64" t="s">
        <v>124</v>
      </c>
    </row>
    <row r="4" spans="3:9" ht="15.75">
      <c r="C4" s="63" t="s">
        <v>130</v>
      </c>
      <c r="D4" s="62"/>
      <c r="E4" s="63" t="s">
        <v>134</v>
      </c>
      <c r="F4" s="62"/>
      <c r="G4" s="63" t="s">
        <v>49</v>
      </c>
      <c r="H4" s="61"/>
      <c r="I4" s="64" t="s">
        <v>49</v>
      </c>
    </row>
    <row r="5" spans="3:9" ht="15.75">
      <c r="C5" s="65" t="s">
        <v>48</v>
      </c>
      <c r="D5" s="62"/>
      <c r="E5" s="65" t="s">
        <v>48</v>
      </c>
      <c r="F5" s="62"/>
      <c r="G5" s="65" t="s">
        <v>50</v>
      </c>
      <c r="H5" s="61"/>
      <c r="I5" s="66" t="s">
        <v>50</v>
      </c>
    </row>
    <row r="6" spans="1:10" ht="15">
      <c r="A6" s="116" t="s">
        <v>51</v>
      </c>
      <c r="B6" s="116"/>
      <c r="C6" s="67"/>
      <c r="D6" s="117"/>
      <c r="E6" s="67"/>
      <c r="F6" s="117"/>
      <c r="G6" s="67"/>
      <c r="H6" s="116"/>
      <c r="I6" s="91"/>
      <c r="J6" s="116"/>
    </row>
    <row r="7" spans="1:10" ht="6" customHeight="1">
      <c r="A7" s="116"/>
      <c r="B7" s="116"/>
      <c r="C7" s="67"/>
      <c r="D7" s="117"/>
      <c r="E7" s="67"/>
      <c r="F7" s="117"/>
      <c r="G7" s="67"/>
      <c r="H7" s="116"/>
      <c r="I7" s="91"/>
      <c r="J7" s="116"/>
    </row>
    <row r="8" spans="1:10" ht="15">
      <c r="A8" s="116" t="s">
        <v>83</v>
      </c>
      <c r="B8" s="116"/>
      <c r="C8" s="84">
        <v>11120425</v>
      </c>
      <c r="D8" s="84"/>
      <c r="E8" s="84">
        <v>10561605</v>
      </c>
      <c r="F8" s="117"/>
      <c r="G8" s="67">
        <f aca="true" t="shared" si="0" ref="G8:G16">E8-C8</f>
        <v>-558820</v>
      </c>
      <c r="H8" s="116"/>
      <c r="I8" s="91">
        <f aca="true" t="shared" si="1" ref="I8:I13">(E8-C8)/C8</f>
        <v>-0.050251676532146926</v>
      </c>
      <c r="J8" s="116"/>
    </row>
    <row r="9" spans="1:10" ht="15">
      <c r="A9" s="116" t="s">
        <v>105</v>
      </c>
      <c r="B9" s="116"/>
      <c r="C9" s="94">
        <v>5991340</v>
      </c>
      <c r="D9" s="117"/>
      <c r="E9" s="94">
        <f>4423611+1965631+328220</f>
        <v>6717462</v>
      </c>
      <c r="F9" s="117"/>
      <c r="G9" s="67">
        <f t="shared" si="0"/>
        <v>726122</v>
      </c>
      <c r="H9" s="116"/>
      <c r="I9" s="91">
        <f t="shared" si="1"/>
        <v>0.12119525848975354</v>
      </c>
      <c r="J9" s="116"/>
    </row>
    <row r="10" spans="1:10" ht="15">
      <c r="A10" s="116" t="s">
        <v>117</v>
      </c>
      <c r="B10" s="116"/>
      <c r="C10" s="94">
        <f>1720895+850000</f>
        <v>2570895</v>
      </c>
      <c r="D10" s="117"/>
      <c r="E10" s="94">
        <f>1878089+950000</f>
        <v>2828089</v>
      </c>
      <c r="F10" s="117"/>
      <c r="G10" s="67">
        <f t="shared" si="0"/>
        <v>257194</v>
      </c>
      <c r="H10" s="116"/>
      <c r="I10" s="91">
        <f t="shared" si="1"/>
        <v>0.10004064732320846</v>
      </c>
      <c r="J10" s="116"/>
    </row>
    <row r="11" spans="1:10" ht="15">
      <c r="A11" s="116" t="s">
        <v>118</v>
      </c>
      <c r="B11" s="116"/>
      <c r="C11" s="94">
        <v>1225000</v>
      </c>
      <c r="D11" s="117"/>
      <c r="E11" s="94">
        <v>1310000</v>
      </c>
      <c r="F11" s="117"/>
      <c r="G11" s="67">
        <f t="shared" si="0"/>
        <v>85000</v>
      </c>
      <c r="H11" s="116"/>
      <c r="I11" s="91">
        <f t="shared" si="1"/>
        <v>0.06938775510204082</v>
      </c>
      <c r="J11" s="116"/>
    </row>
    <row r="12" spans="1:10" ht="15">
      <c r="A12" s="114" t="s">
        <v>107</v>
      </c>
      <c r="B12" s="116"/>
      <c r="C12" s="94">
        <f>4165000-C13</f>
        <v>4135000</v>
      </c>
      <c r="D12" s="117"/>
      <c r="E12" s="94">
        <f>4265000-E13</f>
        <v>4235000</v>
      </c>
      <c r="F12" s="117"/>
      <c r="G12" s="67">
        <f t="shared" si="0"/>
        <v>100000</v>
      </c>
      <c r="H12" s="116"/>
      <c r="I12" s="91">
        <f t="shared" si="1"/>
        <v>0.02418379685610641</v>
      </c>
      <c r="J12" s="116"/>
    </row>
    <row r="13" spans="1:10" ht="15">
      <c r="A13" s="116" t="s">
        <v>108</v>
      </c>
      <c r="B13" s="116"/>
      <c r="C13" s="94">
        <v>30000</v>
      </c>
      <c r="D13" s="117"/>
      <c r="E13" s="94">
        <v>30000</v>
      </c>
      <c r="F13" s="117"/>
      <c r="G13" s="67">
        <f t="shared" si="0"/>
        <v>0</v>
      </c>
      <c r="H13" s="116"/>
      <c r="I13" s="91">
        <f t="shared" si="1"/>
        <v>0</v>
      </c>
      <c r="J13" s="116"/>
    </row>
    <row r="14" spans="1:10" ht="15">
      <c r="A14" s="88" t="s">
        <v>132</v>
      </c>
      <c r="B14" s="116"/>
      <c r="C14" s="94">
        <v>885037</v>
      </c>
      <c r="D14" s="117"/>
      <c r="E14" s="94">
        <v>769281</v>
      </c>
      <c r="F14" s="117"/>
      <c r="G14" s="67"/>
      <c r="H14" s="116"/>
      <c r="I14" s="91">
        <v>1</v>
      </c>
      <c r="J14" s="116"/>
    </row>
    <row r="15" spans="1:10" ht="5.25" customHeight="1">
      <c r="A15" s="116"/>
      <c r="B15" s="116"/>
      <c r="C15" s="94"/>
      <c r="D15" s="117"/>
      <c r="E15" s="94"/>
      <c r="F15" s="117"/>
      <c r="G15" s="67"/>
      <c r="H15" s="116"/>
      <c r="I15" s="93"/>
      <c r="J15" s="116"/>
    </row>
    <row r="16" spans="1:10" ht="15">
      <c r="A16" s="116" t="s">
        <v>29</v>
      </c>
      <c r="B16" s="116"/>
      <c r="C16" s="87">
        <f>SUM(C8:C14)</f>
        <v>25957697</v>
      </c>
      <c r="D16" s="84"/>
      <c r="E16" s="87">
        <f>SUM(E8:E14)</f>
        <v>26451437</v>
      </c>
      <c r="F16" s="117"/>
      <c r="G16" s="70">
        <f t="shared" si="0"/>
        <v>493740</v>
      </c>
      <c r="H16" s="116"/>
      <c r="I16" s="91">
        <f>(E16-C16)/C16</f>
        <v>0.019020947813667755</v>
      </c>
      <c r="J16" s="116"/>
    </row>
    <row r="17" spans="1:10" ht="15">
      <c r="A17" s="116"/>
      <c r="B17" s="116"/>
      <c r="C17" s="67"/>
      <c r="D17" s="117"/>
      <c r="E17" s="67"/>
      <c r="F17" s="117"/>
      <c r="G17" s="67"/>
      <c r="H17" s="116"/>
      <c r="I17" s="91"/>
      <c r="J17" s="116"/>
    </row>
    <row r="18" spans="1:10" ht="15">
      <c r="A18" s="116" t="s">
        <v>30</v>
      </c>
      <c r="B18" s="116"/>
      <c r="C18" s="94">
        <v>850000</v>
      </c>
      <c r="D18" s="117"/>
      <c r="E18" s="94">
        <v>850000</v>
      </c>
      <c r="F18" s="117"/>
      <c r="G18" s="67">
        <f>E18-C18</f>
        <v>0</v>
      </c>
      <c r="H18" s="116"/>
      <c r="I18" s="91">
        <f>(E18-C18)/C18</f>
        <v>0</v>
      </c>
      <c r="J18" s="116"/>
    </row>
    <row r="19" spans="1:10" ht="15">
      <c r="A19" s="116"/>
      <c r="B19" s="116"/>
      <c r="C19" s="94"/>
      <c r="D19" s="117"/>
      <c r="E19" s="94"/>
      <c r="F19" s="117"/>
      <c r="G19" s="67"/>
      <c r="H19" s="116"/>
      <c r="I19" s="91"/>
      <c r="J19" s="116"/>
    </row>
    <row r="20" spans="1:9" s="118" customFormat="1" ht="18.75" thickBot="1">
      <c r="A20" s="118" t="s">
        <v>35</v>
      </c>
      <c r="C20" s="85">
        <f>SUM(C16:C18)</f>
        <v>26807697</v>
      </c>
      <c r="D20" s="86"/>
      <c r="E20" s="85">
        <f>SUM(E16:E18)</f>
        <v>27301437</v>
      </c>
      <c r="F20" s="119"/>
      <c r="G20" s="82">
        <f>E20-C20</f>
        <v>493740</v>
      </c>
      <c r="I20" s="100">
        <f>(E20-C20)/C20</f>
        <v>0.018417844695872234</v>
      </c>
    </row>
    <row r="21" spans="1:10" ht="15.75" thickTop="1">
      <c r="A21" s="116"/>
      <c r="B21" s="116"/>
      <c r="C21" s="67"/>
      <c r="D21" s="117"/>
      <c r="E21" s="67"/>
      <c r="F21" s="117"/>
      <c r="G21" s="67"/>
      <c r="H21" s="116"/>
      <c r="I21" s="91"/>
      <c r="J21" s="116"/>
    </row>
    <row r="22" spans="1:10" ht="15" hidden="1">
      <c r="A22" s="116" t="s">
        <v>59</v>
      </c>
      <c r="B22" s="116"/>
      <c r="C22" s="67"/>
      <c r="D22" s="117"/>
      <c r="E22" s="67"/>
      <c r="F22" s="117"/>
      <c r="G22" s="67"/>
      <c r="H22" s="116"/>
      <c r="I22" s="91"/>
      <c r="J22" s="116"/>
    </row>
    <row r="23" spans="1:10" ht="15" hidden="1">
      <c r="A23" s="116" t="s">
        <v>109</v>
      </c>
      <c r="B23" s="116"/>
      <c r="C23" s="94">
        <v>4142743</v>
      </c>
      <c r="D23" s="117"/>
      <c r="E23" s="94">
        <v>4142743</v>
      </c>
      <c r="F23" s="117"/>
      <c r="G23" s="67">
        <f aca="true" t="shared" si="2" ref="G23:G36">E23-C23</f>
        <v>0</v>
      </c>
      <c r="H23" s="116"/>
      <c r="I23" s="91">
        <f aca="true" t="shared" si="3" ref="I23:I36">G23/C23</f>
        <v>0</v>
      </c>
      <c r="J23" s="116"/>
    </row>
    <row r="24" spans="1:10" ht="15" hidden="1">
      <c r="A24" s="116" t="s">
        <v>91</v>
      </c>
      <c r="B24" s="116"/>
      <c r="C24" s="94">
        <v>4721053</v>
      </c>
      <c r="D24" s="117"/>
      <c r="E24" s="94">
        <v>4721053</v>
      </c>
      <c r="F24" s="117"/>
      <c r="G24" s="67">
        <f t="shared" si="2"/>
        <v>0</v>
      </c>
      <c r="H24" s="116"/>
      <c r="I24" s="91">
        <f t="shared" si="3"/>
        <v>0</v>
      </c>
      <c r="J24" s="116"/>
    </row>
    <row r="25" spans="1:10" ht="15" hidden="1">
      <c r="A25" s="116" t="s">
        <v>92</v>
      </c>
      <c r="B25" s="116"/>
      <c r="C25" s="94">
        <v>2551073</v>
      </c>
      <c r="D25" s="117"/>
      <c r="E25" s="94">
        <v>2551073</v>
      </c>
      <c r="F25" s="117"/>
      <c r="G25" s="67">
        <f t="shared" si="2"/>
        <v>0</v>
      </c>
      <c r="H25" s="116"/>
      <c r="I25" s="91">
        <f t="shared" si="3"/>
        <v>0</v>
      </c>
      <c r="J25" s="116"/>
    </row>
    <row r="26" spans="1:10" ht="15" hidden="1">
      <c r="A26" s="116" t="s">
        <v>93</v>
      </c>
      <c r="B26" s="116"/>
      <c r="C26" s="94">
        <v>3569471</v>
      </c>
      <c r="D26" s="117"/>
      <c r="E26" s="94">
        <v>3569471</v>
      </c>
      <c r="F26" s="117"/>
      <c r="G26" s="67">
        <f t="shared" si="2"/>
        <v>0</v>
      </c>
      <c r="H26" s="116"/>
      <c r="I26" s="91">
        <f t="shared" si="3"/>
        <v>0</v>
      </c>
      <c r="J26" s="116"/>
    </row>
    <row r="27" spans="1:10" ht="15" hidden="1">
      <c r="A27" s="116" t="s">
        <v>94</v>
      </c>
      <c r="B27" s="116"/>
      <c r="C27" s="94">
        <v>2994210</v>
      </c>
      <c r="D27" s="117"/>
      <c r="E27" s="94">
        <v>2994210</v>
      </c>
      <c r="F27" s="117"/>
      <c r="G27" s="67">
        <f t="shared" si="2"/>
        <v>0</v>
      </c>
      <c r="H27" s="116"/>
      <c r="I27" s="91">
        <f t="shared" si="3"/>
        <v>0</v>
      </c>
      <c r="J27" s="116"/>
    </row>
    <row r="28" spans="1:10" ht="15" hidden="1">
      <c r="A28" s="116" t="s">
        <v>95</v>
      </c>
      <c r="B28" s="116"/>
      <c r="C28" s="94">
        <v>1008162</v>
      </c>
      <c r="D28" s="117"/>
      <c r="E28" s="94">
        <v>1008162</v>
      </c>
      <c r="F28" s="117"/>
      <c r="G28" s="67">
        <f t="shared" si="2"/>
        <v>0</v>
      </c>
      <c r="H28" s="116"/>
      <c r="I28" s="91">
        <f t="shared" si="3"/>
        <v>0</v>
      </c>
      <c r="J28" s="116"/>
    </row>
    <row r="29" spans="1:10" ht="15" hidden="1">
      <c r="A29" s="116" t="s">
        <v>103</v>
      </c>
      <c r="B29" s="116"/>
      <c r="C29" s="94">
        <v>20192</v>
      </c>
      <c r="D29" s="117"/>
      <c r="E29" s="94">
        <v>20192</v>
      </c>
      <c r="F29" s="117"/>
      <c r="G29" s="67">
        <f t="shared" si="2"/>
        <v>0</v>
      </c>
      <c r="H29" s="116"/>
      <c r="I29" s="91">
        <f t="shared" si="3"/>
        <v>0</v>
      </c>
      <c r="J29" s="116"/>
    </row>
    <row r="30" spans="1:10" ht="15" hidden="1">
      <c r="A30" s="116" t="s">
        <v>96</v>
      </c>
      <c r="B30" s="116"/>
      <c r="C30" s="94">
        <v>141224</v>
      </c>
      <c r="D30" s="117"/>
      <c r="E30" s="94">
        <v>141224</v>
      </c>
      <c r="F30" s="117"/>
      <c r="G30" s="67">
        <f t="shared" si="2"/>
        <v>0</v>
      </c>
      <c r="H30" s="116"/>
      <c r="I30" s="91">
        <f t="shared" si="3"/>
        <v>0</v>
      </c>
      <c r="J30" s="116"/>
    </row>
    <row r="31" spans="1:10" ht="15" hidden="1">
      <c r="A31" s="116" t="s">
        <v>97</v>
      </c>
      <c r="B31" s="116"/>
      <c r="C31" s="94">
        <v>221630</v>
      </c>
      <c r="D31" s="117"/>
      <c r="E31" s="94">
        <v>221630</v>
      </c>
      <c r="F31" s="117"/>
      <c r="G31" s="67">
        <f t="shared" si="2"/>
        <v>0</v>
      </c>
      <c r="H31" s="116"/>
      <c r="I31" s="91">
        <f t="shared" si="3"/>
        <v>0</v>
      </c>
      <c r="J31" s="116"/>
    </row>
    <row r="32" spans="1:10" ht="15" hidden="1">
      <c r="A32" s="116" t="s">
        <v>98</v>
      </c>
      <c r="B32" s="116"/>
      <c r="C32" s="94">
        <v>1470537</v>
      </c>
      <c r="D32" s="117"/>
      <c r="E32" s="94">
        <v>1470537</v>
      </c>
      <c r="F32" s="117"/>
      <c r="G32" s="67">
        <f t="shared" si="2"/>
        <v>0</v>
      </c>
      <c r="H32" s="116"/>
      <c r="I32" s="91">
        <f t="shared" si="3"/>
        <v>0</v>
      </c>
      <c r="J32" s="116"/>
    </row>
    <row r="33" spans="1:10" ht="15" hidden="1">
      <c r="A33" s="116" t="s">
        <v>110</v>
      </c>
      <c r="B33" s="116"/>
      <c r="C33" s="94">
        <v>30000</v>
      </c>
      <c r="D33" s="117"/>
      <c r="E33" s="94">
        <v>30000</v>
      </c>
      <c r="F33" s="117"/>
      <c r="G33" s="67">
        <f t="shared" si="2"/>
        <v>0</v>
      </c>
      <c r="H33" s="116"/>
      <c r="I33" s="91">
        <f t="shared" si="3"/>
        <v>0</v>
      </c>
      <c r="J33" s="116"/>
    </row>
    <row r="34" spans="1:10" ht="15" hidden="1">
      <c r="A34" s="116" t="s">
        <v>99</v>
      </c>
      <c r="B34" s="116"/>
      <c r="C34" s="94">
        <v>1159295</v>
      </c>
      <c r="D34" s="117"/>
      <c r="E34" s="94">
        <v>1159295</v>
      </c>
      <c r="F34" s="117"/>
      <c r="G34" s="67">
        <f t="shared" si="2"/>
        <v>0</v>
      </c>
      <c r="H34" s="116"/>
      <c r="I34" s="91">
        <f t="shared" si="3"/>
        <v>0</v>
      </c>
      <c r="J34" s="116"/>
    </row>
    <row r="35" spans="1:10" ht="15" hidden="1">
      <c r="A35" s="116" t="s">
        <v>100</v>
      </c>
      <c r="B35" s="116"/>
      <c r="C35" s="94">
        <v>548883</v>
      </c>
      <c r="D35" s="117"/>
      <c r="E35" s="94">
        <v>548883</v>
      </c>
      <c r="F35" s="117"/>
      <c r="G35" s="67">
        <f t="shared" si="2"/>
        <v>0</v>
      </c>
      <c r="H35" s="116"/>
      <c r="I35" s="91">
        <f t="shared" si="3"/>
        <v>0</v>
      </c>
      <c r="J35" s="116"/>
    </row>
    <row r="36" spans="1:10" ht="15.75" hidden="1" thickBot="1">
      <c r="A36" s="116" t="s">
        <v>74</v>
      </c>
      <c r="B36" s="116"/>
      <c r="C36" s="74">
        <f>SUM(C23:C35)</f>
        <v>22578473</v>
      </c>
      <c r="D36" s="117"/>
      <c r="E36" s="74">
        <f>SUM(E23:E35)</f>
        <v>22578473</v>
      </c>
      <c r="F36" s="117"/>
      <c r="G36" s="74">
        <f t="shared" si="2"/>
        <v>0</v>
      </c>
      <c r="H36" s="116"/>
      <c r="I36" s="97">
        <f t="shared" si="3"/>
        <v>0</v>
      </c>
      <c r="J36" s="116"/>
    </row>
    <row r="37" spans="1:10" ht="15">
      <c r="A37" s="116"/>
      <c r="B37" s="116"/>
      <c r="C37" s="67"/>
      <c r="D37" s="117"/>
      <c r="E37" s="67"/>
      <c r="F37" s="117"/>
      <c r="G37" s="67"/>
      <c r="H37" s="116"/>
      <c r="I37" s="91"/>
      <c r="J37" s="116"/>
    </row>
    <row r="38" spans="1:10" ht="15">
      <c r="A38" s="60" t="s">
        <v>123</v>
      </c>
      <c r="B38" s="116"/>
      <c r="C38" s="67"/>
      <c r="D38" s="117"/>
      <c r="E38" s="67"/>
      <c r="F38" s="117"/>
      <c r="G38" s="67"/>
      <c r="H38" s="116"/>
      <c r="I38" s="91"/>
      <c r="J38" s="116"/>
    </row>
    <row r="39" spans="1:10" ht="5.25" customHeight="1">
      <c r="A39" s="116"/>
      <c r="B39" s="116"/>
      <c r="C39" s="67"/>
      <c r="D39" s="117"/>
      <c r="E39" s="67"/>
      <c r="F39" s="117"/>
      <c r="G39" s="67"/>
      <c r="H39" s="116"/>
      <c r="I39" s="91"/>
      <c r="J39" s="116"/>
    </row>
    <row r="40" spans="1:10" ht="15">
      <c r="A40" s="116" t="s">
        <v>111</v>
      </c>
      <c r="B40" s="116"/>
      <c r="C40" s="84">
        <v>8165142</v>
      </c>
      <c r="D40" s="84"/>
      <c r="E40" s="84">
        <v>8561300</v>
      </c>
      <c r="F40" s="117"/>
      <c r="G40" s="67">
        <f aca="true" t="shared" si="4" ref="G40:G49">E40-C40</f>
        <v>396158</v>
      </c>
      <c r="H40" s="116"/>
      <c r="I40" s="91">
        <f aca="true" t="shared" si="5" ref="I40:I47">(E40-C40)/C40</f>
        <v>0.04851820090820221</v>
      </c>
      <c r="J40" s="116"/>
    </row>
    <row r="41" spans="1:10" ht="15">
      <c r="A41" s="116" t="s">
        <v>119</v>
      </c>
      <c r="B41" s="116"/>
      <c r="C41" s="78">
        <v>4716616</v>
      </c>
      <c r="D41" s="117"/>
      <c r="E41" s="78">
        <v>4942808</v>
      </c>
      <c r="F41" s="117"/>
      <c r="G41" s="67">
        <f t="shared" si="4"/>
        <v>226192</v>
      </c>
      <c r="H41" s="116"/>
      <c r="I41" s="91">
        <f t="shared" si="5"/>
        <v>0.04795641621026601</v>
      </c>
      <c r="J41" s="116"/>
    </row>
    <row r="42" spans="1:10" ht="15">
      <c r="A42" s="116" t="s">
        <v>120</v>
      </c>
      <c r="B42" s="116"/>
      <c r="C42" s="78">
        <v>8750384</v>
      </c>
      <c r="D42" s="117"/>
      <c r="E42" s="78">
        <v>8639860</v>
      </c>
      <c r="F42" s="117"/>
      <c r="G42" s="67">
        <f t="shared" si="4"/>
        <v>-110524</v>
      </c>
      <c r="H42" s="116"/>
      <c r="I42" s="91">
        <f t="shared" si="5"/>
        <v>-0.012630759975790776</v>
      </c>
      <c r="J42" s="116"/>
    </row>
    <row r="43" spans="1:10" ht="15">
      <c r="A43" s="116" t="s">
        <v>113</v>
      </c>
      <c r="B43" s="116"/>
      <c r="C43" s="78">
        <v>1509542</v>
      </c>
      <c r="D43" s="117"/>
      <c r="E43" s="78">
        <v>1468372</v>
      </c>
      <c r="F43" s="117"/>
      <c r="G43" s="67">
        <f t="shared" si="4"/>
        <v>-41170</v>
      </c>
      <c r="H43" s="116"/>
      <c r="I43" s="91">
        <f t="shared" si="5"/>
        <v>-0.02727317292264806</v>
      </c>
      <c r="J43" s="116"/>
    </row>
    <row r="44" spans="1:10" ht="15">
      <c r="A44" s="116" t="s">
        <v>114</v>
      </c>
      <c r="B44" s="116"/>
      <c r="C44" s="78">
        <v>119867</v>
      </c>
      <c r="D44" s="117"/>
      <c r="E44" s="78">
        <v>119867</v>
      </c>
      <c r="F44" s="117"/>
      <c r="G44" s="67">
        <f t="shared" si="4"/>
        <v>0</v>
      </c>
      <c r="H44" s="116"/>
      <c r="I44" s="91">
        <f t="shared" si="5"/>
        <v>0</v>
      </c>
      <c r="J44" s="116"/>
    </row>
    <row r="45" spans="1:10" ht="15">
      <c r="A45" s="116" t="s">
        <v>115</v>
      </c>
      <c r="B45" s="116"/>
      <c r="C45" s="78">
        <v>637567</v>
      </c>
      <c r="D45" s="117"/>
      <c r="E45" s="78">
        <v>625037</v>
      </c>
      <c r="F45" s="117"/>
      <c r="G45" s="67">
        <f t="shared" si="4"/>
        <v>-12530</v>
      </c>
      <c r="H45" s="116"/>
      <c r="I45" s="91">
        <f t="shared" si="5"/>
        <v>-0.019652836486204587</v>
      </c>
      <c r="J45" s="116"/>
    </row>
    <row r="46" spans="1:10" ht="15">
      <c r="A46" s="116" t="s">
        <v>116</v>
      </c>
      <c r="B46" s="116"/>
      <c r="C46" s="79">
        <v>2878579</v>
      </c>
      <c r="D46" s="117"/>
      <c r="E46" s="79">
        <v>2914193</v>
      </c>
      <c r="F46" s="117"/>
      <c r="G46" s="67">
        <f t="shared" si="4"/>
        <v>35614</v>
      </c>
      <c r="H46" s="116"/>
      <c r="I46" s="91">
        <f t="shared" si="5"/>
        <v>0.012372076639202884</v>
      </c>
      <c r="J46" s="116"/>
    </row>
    <row r="47" spans="1:10" ht="15">
      <c r="A47" s="116" t="s">
        <v>110</v>
      </c>
      <c r="B47" s="116"/>
      <c r="C47" s="79">
        <v>30000</v>
      </c>
      <c r="D47" s="117"/>
      <c r="E47" s="79">
        <v>30000</v>
      </c>
      <c r="F47" s="117"/>
      <c r="G47" s="67">
        <f t="shared" si="4"/>
        <v>0</v>
      </c>
      <c r="H47" s="116"/>
      <c r="I47" s="91">
        <f t="shared" si="5"/>
        <v>0</v>
      </c>
      <c r="J47" s="116"/>
    </row>
    <row r="48" spans="1:10" ht="6.75" customHeight="1">
      <c r="A48" s="116"/>
      <c r="B48" s="116"/>
      <c r="C48" s="79"/>
      <c r="D48" s="117"/>
      <c r="E48" s="79"/>
      <c r="F48" s="117"/>
      <c r="G48" s="67"/>
      <c r="H48" s="116"/>
      <c r="I48" s="91"/>
      <c r="J48" s="116"/>
    </row>
    <row r="49" spans="1:9" s="118" customFormat="1" ht="18.75" thickBot="1">
      <c r="A49" s="112" t="s">
        <v>46</v>
      </c>
      <c r="C49" s="85">
        <f>SUM(C40:C47)</f>
        <v>26807697</v>
      </c>
      <c r="D49" s="86"/>
      <c r="E49" s="85">
        <f>SUM(E40:E47)</f>
        <v>27301437</v>
      </c>
      <c r="F49" s="119"/>
      <c r="G49" s="82">
        <f t="shared" si="4"/>
        <v>493740</v>
      </c>
      <c r="I49" s="100">
        <f>(E49-C49)/C49</f>
        <v>0.018417844695872234</v>
      </c>
    </row>
    <row r="50" spans="1:10" ht="15.75" thickTop="1">
      <c r="A50" s="116"/>
      <c r="B50" s="116"/>
      <c r="C50" s="67"/>
      <c r="D50" s="117"/>
      <c r="E50" s="67"/>
      <c r="F50" s="117"/>
      <c r="G50" s="67"/>
      <c r="H50" s="116"/>
      <c r="I50" s="91"/>
      <c r="J50" s="116"/>
    </row>
    <row r="51" spans="1:10" ht="15">
      <c r="A51" s="116"/>
      <c r="B51" s="116"/>
      <c r="C51" s="67"/>
      <c r="D51" s="117"/>
      <c r="E51" s="67"/>
      <c r="F51" s="117"/>
      <c r="G51" s="67"/>
      <c r="H51" s="116"/>
      <c r="I51" s="91"/>
      <c r="J51" s="116"/>
    </row>
    <row r="52" spans="1:10" ht="15">
      <c r="A52" s="116"/>
      <c r="B52" s="116"/>
      <c r="C52" s="67"/>
      <c r="D52" s="117"/>
      <c r="E52" s="67"/>
      <c r="F52" s="117"/>
      <c r="G52" s="67"/>
      <c r="H52" s="116"/>
      <c r="I52" s="91"/>
      <c r="J52" s="116"/>
    </row>
  </sheetData>
  <sheetProtection/>
  <printOptions horizontalCentered="1"/>
  <pageMargins left="1" right="1" top="1" bottom="1" header="0.5" footer="0.5"/>
  <pageSetup fitToHeight="1" fitToWidth="1" horizontalDpi="300" verticalDpi="300" orientation="landscape" scale="84" r:id="rId1"/>
  <headerFooter alignWithMargins="0">
    <oddHeader>&amp;C
&amp;"Arial,Bold"&amp;18CENTER FOR VETERINARY HEALTH SCIENCES
SUMMARY OF REVENUE &amp;&amp; EXPENDITURES
Education &amp;&amp; General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zoomScale="85" zoomScaleNormal="85" zoomScalePageLayoutView="0" workbookViewId="0" topLeftCell="A1">
      <selection activeCell="E40" sqref="E40"/>
    </sheetView>
  </sheetViews>
  <sheetFormatPr defaultColWidth="9.140625" defaultRowHeight="12.75"/>
  <cols>
    <col min="1" max="1" width="54.421875" style="46" customWidth="1"/>
    <col min="2" max="2" width="9.140625" style="46" customWidth="1"/>
    <col min="3" max="3" width="20.7109375" style="27" customWidth="1"/>
    <col min="4" max="4" width="9.140625" style="47" customWidth="1"/>
    <col min="5" max="5" width="20.7109375" style="27" customWidth="1"/>
    <col min="6" max="6" width="9.140625" style="47" customWidth="1"/>
    <col min="7" max="7" width="13.57421875" style="27" hidden="1" customWidth="1"/>
    <col min="8" max="8" width="0" style="46" hidden="1" customWidth="1"/>
    <col min="9" max="9" width="16.57421875" style="31" customWidth="1"/>
    <col min="10" max="16384" width="9.140625" style="46" customWidth="1"/>
  </cols>
  <sheetData>
    <row r="1" spans="1:9" ht="90.75" customHeight="1">
      <c r="A1" s="25"/>
      <c r="B1" s="44"/>
      <c r="C1" s="26"/>
      <c r="D1" s="45"/>
      <c r="E1" s="26"/>
      <c r="F1" s="45"/>
      <c r="G1" s="26"/>
      <c r="H1" s="44"/>
      <c r="I1" s="38"/>
    </row>
    <row r="2" spans="3:9" ht="15.75">
      <c r="C2" s="62"/>
      <c r="D2" s="62"/>
      <c r="E2" s="62"/>
      <c r="F2" s="62"/>
      <c r="G2" s="63" t="s">
        <v>47</v>
      </c>
      <c r="H2" s="61"/>
      <c r="I2" s="64" t="s">
        <v>124</v>
      </c>
    </row>
    <row r="3" spans="3:9" ht="15.75">
      <c r="C3" s="63" t="s">
        <v>130</v>
      </c>
      <c r="D3" s="62"/>
      <c r="E3" s="63" t="s">
        <v>134</v>
      </c>
      <c r="F3" s="62"/>
      <c r="G3" s="63" t="s">
        <v>49</v>
      </c>
      <c r="H3" s="61"/>
      <c r="I3" s="64" t="s">
        <v>49</v>
      </c>
    </row>
    <row r="4" spans="3:9" ht="15.75">
      <c r="C4" s="65" t="s">
        <v>48</v>
      </c>
      <c r="D4" s="62"/>
      <c r="E4" s="65" t="s">
        <v>48</v>
      </c>
      <c r="F4" s="62"/>
      <c r="G4" s="65" t="s">
        <v>50</v>
      </c>
      <c r="H4" s="61"/>
      <c r="I4" s="66" t="s">
        <v>50</v>
      </c>
    </row>
    <row r="5" spans="1:10" ht="15">
      <c r="A5" s="120" t="s">
        <v>51</v>
      </c>
      <c r="B5" s="120"/>
      <c r="C5" s="67"/>
      <c r="D5" s="121"/>
      <c r="E5" s="67"/>
      <c r="F5" s="121"/>
      <c r="G5" s="67"/>
      <c r="H5" s="120"/>
      <c r="I5" s="91"/>
      <c r="J5" s="120"/>
    </row>
    <row r="6" spans="1:10" ht="6" customHeight="1">
      <c r="A6" s="120"/>
      <c r="B6" s="120"/>
      <c r="C6" s="67"/>
      <c r="D6" s="121"/>
      <c r="E6" s="67"/>
      <c r="F6" s="121"/>
      <c r="G6" s="67"/>
      <c r="H6" s="120"/>
      <c r="I6" s="91"/>
      <c r="J6" s="120"/>
    </row>
    <row r="7" spans="1:10" ht="15">
      <c r="A7" s="120" t="s">
        <v>83</v>
      </c>
      <c r="B7" s="120"/>
      <c r="C7" s="84">
        <v>11404027</v>
      </c>
      <c r="D7" s="84"/>
      <c r="E7" s="84">
        <v>10821528</v>
      </c>
      <c r="F7" s="121"/>
      <c r="G7" s="67">
        <f>E7-C7</f>
        <v>-582499</v>
      </c>
      <c r="H7" s="120"/>
      <c r="I7" s="91">
        <f>(E7-C7)/C7</f>
        <v>-0.05107836030202314</v>
      </c>
      <c r="J7" s="120"/>
    </row>
    <row r="8" spans="1:12" ht="15">
      <c r="A8" s="120" t="s">
        <v>105</v>
      </c>
      <c r="B8" s="120"/>
      <c r="C8" s="67">
        <v>11484772</v>
      </c>
      <c r="D8" s="121"/>
      <c r="E8" s="67">
        <f>11732100+809992+1798385</f>
        <v>14340477</v>
      </c>
      <c r="F8" s="121"/>
      <c r="G8" s="67">
        <f>E8-C8</f>
        <v>2855705</v>
      </c>
      <c r="H8" s="120"/>
      <c r="I8" s="91">
        <f>(E8-C8)/C8</f>
        <v>0.24865143165227835</v>
      </c>
      <c r="J8" s="120"/>
      <c r="L8" s="48"/>
    </row>
    <row r="9" spans="1:12" ht="15">
      <c r="A9" s="120" t="s">
        <v>106</v>
      </c>
      <c r="B9" s="120"/>
      <c r="C9" s="67">
        <f>172651+5515</f>
        <v>178166</v>
      </c>
      <c r="D9" s="121"/>
      <c r="E9" s="67">
        <f>9600+236018</f>
        <v>245618</v>
      </c>
      <c r="F9" s="121"/>
      <c r="G9" s="67">
        <f>E9-C9</f>
        <v>67452</v>
      </c>
      <c r="H9" s="120"/>
      <c r="I9" s="91">
        <f>(E9-C9)/C9</f>
        <v>0.37859075244434964</v>
      </c>
      <c r="J9" s="120"/>
      <c r="L9" s="48"/>
    </row>
    <row r="10" spans="1:12" ht="15">
      <c r="A10" s="120" t="s">
        <v>108</v>
      </c>
      <c r="B10" s="120"/>
      <c r="C10" s="67">
        <v>230364</v>
      </c>
      <c r="D10" s="121"/>
      <c r="E10" s="67">
        <v>229864</v>
      </c>
      <c r="F10" s="121"/>
      <c r="G10" s="67">
        <f>E10-C10</f>
        <v>-500</v>
      </c>
      <c r="H10" s="120"/>
      <c r="I10" s="91">
        <f>(E10-C10)/C10</f>
        <v>-0.002170478026080464</v>
      </c>
      <c r="J10" s="120"/>
      <c r="L10" s="48"/>
    </row>
    <row r="11" spans="1:12" ht="15">
      <c r="A11" s="88" t="s">
        <v>132</v>
      </c>
      <c r="B11" s="120"/>
      <c r="C11" s="67">
        <v>887671</v>
      </c>
      <c r="D11" s="121"/>
      <c r="E11" s="67">
        <v>771571</v>
      </c>
      <c r="F11" s="121"/>
      <c r="G11" s="67">
        <f>E11-C11</f>
        <v>-116100</v>
      </c>
      <c r="H11" s="120"/>
      <c r="I11" s="91">
        <v>1</v>
      </c>
      <c r="J11" s="120"/>
      <c r="L11" s="48"/>
    </row>
    <row r="12" spans="1:12" ht="6" customHeight="1">
      <c r="A12" s="120"/>
      <c r="B12" s="120"/>
      <c r="C12" s="67"/>
      <c r="D12" s="121"/>
      <c r="E12" s="67"/>
      <c r="F12" s="121"/>
      <c r="G12" s="67"/>
      <c r="H12" s="120"/>
      <c r="I12" s="91"/>
      <c r="J12" s="120"/>
      <c r="L12" s="48"/>
    </row>
    <row r="13" spans="1:10" ht="15">
      <c r="A13" s="120" t="s">
        <v>29</v>
      </c>
      <c r="B13" s="120"/>
      <c r="C13" s="87">
        <f>SUM(C7:C11)</f>
        <v>24185000</v>
      </c>
      <c r="D13" s="84"/>
      <c r="E13" s="87">
        <f>SUM(E7:E11)</f>
        <v>26409058</v>
      </c>
      <c r="F13" s="121"/>
      <c r="G13" s="70">
        <f>E13-C13</f>
        <v>2224058</v>
      </c>
      <c r="H13" s="120"/>
      <c r="I13" s="95">
        <f>(E13-C13)/C13</f>
        <v>0.09196022327889188</v>
      </c>
      <c r="J13" s="120"/>
    </row>
    <row r="14" spans="1:12" ht="15">
      <c r="A14" s="120"/>
      <c r="B14" s="120"/>
      <c r="C14" s="67"/>
      <c r="D14" s="121"/>
      <c r="E14" s="67"/>
      <c r="F14" s="121"/>
      <c r="G14" s="67"/>
      <c r="H14" s="120"/>
      <c r="I14" s="91"/>
      <c r="J14" s="120"/>
      <c r="L14" s="48"/>
    </row>
    <row r="15" spans="1:10" ht="15">
      <c r="A15" s="120" t="s">
        <v>30</v>
      </c>
      <c r="B15" s="120"/>
      <c r="C15" s="67">
        <v>0</v>
      </c>
      <c r="D15" s="121"/>
      <c r="E15" s="67">
        <v>0</v>
      </c>
      <c r="F15" s="121"/>
      <c r="G15" s="67">
        <f>E15-C15</f>
        <v>0</v>
      </c>
      <c r="H15" s="120"/>
      <c r="I15" s="91" t="e">
        <f>(E15-C15)/C15</f>
        <v>#DIV/0!</v>
      </c>
      <c r="J15" s="120"/>
    </row>
    <row r="16" spans="1:10" ht="15">
      <c r="A16" s="120"/>
      <c r="B16" s="120"/>
      <c r="C16" s="67"/>
      <c r="D16" s="121"/>
      <c r="E16" s="67"/>
      <c r="F16" s="121"/>
      <c r="G16" s="67"/>
      <c r="H16" s="120"/>
      <c r="I16" s="91"/>
      <c r="J16" s="120"/>
    </row>
    <row r="17" spans="1:9" s="122" customFormat="1" ht="18.75" thickBot="1">
      <c r="A17" s="122" t="s">
        <v>35</v>
      </c>
      <c r="C17" s="85">
        <f>SUM(C13:C15)</f>
        <v>24185000</v>
      </c>
      <c r="D17" s="86"/>
      <c r="E17" s="85">
        <f>SUM(E13:E15)</f>
        <v>26409058</v>
      </c>
      <c r="F17" s="123"/>
      <c r="G17" s="82">
        <f>E17-C17</f>
        <v>2224058</v>
      </c>
      <c r="I17" s="100">
        <f>(E17-C17)/C17</f>
        <v>0.09196022327889188</v>
      </c>
    </row>
    <row r="18" spans="1:10" ht="15.75" thickTop="1">
      <c r="A18" s="120"/>
      <c r="B18" s="120"/>
      <c r="C18" s="67"/>
      <c r="D18" s="121"/>
      <c r="E18" s="67"/>
      <c r="F18" s="121"/>
      <c r="G18" s="67"/>
      <c r="H18" s="120"/>
      <c r="I18" s="91"/>
      <c r="J18" s="120"/>
    </row>
    <row r="19" spans="1:10" ht="15" hidden="1">
      <c r="A19" s="120" t="s">
        <v>59</v>
      </c>
      <c r="B19" s="120"/>
      <c r="C19" s="67"/>
      <c r="D19" s="121"/>
      <c r="E19" s="67"/>
      <c r="F19" s="121"/>
      <c r="G19" s="67"/>
      <c r="H19" s="120"/>
      <c r="I19" s="91"/>
      <c r="J19" s="120"/>
    </row>
    <row r="20" spans="1:10" ht="15" hidden="1">
      <c r="A20" s="120" t="s">
        <v>109</v>
      </c>
      <c r="B20" s="120"/>
      <c r="C20" s="67">
        <v>5250701</v>
      </c>
      <c r="D20" s="121"/>
      <c r="E20" s="67">
        <v>5250701</v>
      </c>
      <c r="F20" s="121"/>
      <c r="G20" s="67">
        <f aca="true" t="shared" si="0" ref="G20:G33">E20-C20</f>
        <v>0</v>
      </c>
      <c r="H20" s="120"/>
      <c r="I20" s="91">
        <f aca="true" t="shared" si="1" ref="I20:I33">G20/C20</f>
        <v>0</v>
      </c>
      <c r="J20" s="120"/>
    </row>
    <row r="21" spans="1:10" ht="15" hidden="1">
      <c r="A21" s="120" t="s">
        <v>91</v>
      </c>
      <c r="B21" s="120"/>
      <c r="C21" s="67">
        <v>2238719</v>
      </c>
      <c r="D21" s="121"/>
      <c r="E21" s="67">
        <v>2238719</v>
      </c>
      <c r="F21" s="121"/>
      <c r="G21" s="67">
        <f t="shared" si="0"/>
        <v>0</v>
      </c>
      <c r="H21" s="120"/>
      <c r="I21" s="91">
        <f t="shared" si="1"/>
        <v>0</v>
      </c>
      <c r="J21" s="120"/>
    </row>
    <row r="22" spans="1:10" ht="15" hidden="1">
      <c r="A22" s="120" t="s">
        <v>92</v>
      </c>
      <c r="B22" s="120"/>
      <c r="C22" s="67">
        <v>2753893</v>
      </c>
      <c r="D22" s="121"/>
      <c r="E22" s="67">
        <v>2753893</v>
      </c>
      <c r="F22" s="121"/>
      <c r="G22" s="67">
        <f t="shared" si="0"/>
        <v>0</v>
      </c>
      <c r="H22" s="120"/>
      <c r="I22" s="91">
        <f t="shared" si="1"/>
        <v>0</v>
      </c>
      <c r="J22" s="120"/>
    </row>
    <row r="23" spans="1:10" ht="15" hidden="1">
      <c r="A23" s="120" t="s">
        <v>93</v>
      </c>
      <c r="B23" s="120"/>
      <c r="C23" s="67">
        <v>3676865</v>
      </c>
      <c r="D23" s="121"/>
      <c r="E23" s="67">
        <v>3676865</v>
      </c>
      <c r="F23" s="121"/>
      <c r="G23" s="67">
        <f t="shared" si="0"/>
        <v>0</v>
      </c>
      <c r="H23" s="120"/>
      <c r="I23" s="91">
        <f t="shared" si="1"/>
        <v>0</v>
      </c>
      <c r="J23" s="120"/>
    </row>
    <row r="24" spans="1:10" ht="15" hidden="1">
      <c r="A24" s="120" t="s">
        <v>94</v>
      </c>
      <c r="B24" s="120"/>
      <c r="C24" s="67">
        <v>560942</v>
      </c>
      <c r="D24" s="121"/>
      <c r="E24" s="67">
        <v>560942</v>
      </c>
      <c r="F24" s="121"/>
      <c r="G24" s="67">
        <f t="shared" si="0"/>
        <v>0</v>
      </c>
      <c r="H24" s="120"/>
      <c r="I24" s="91">
        <f t="shared" si="1"/>
        <v>0</v>
      </c>
      <c r="J24" s="120"/>
    </row>
    <row r="25" spans="1:10" ht="15" hidden="1">
      <c r="A25" s="120" t="s">
        <v>95</v>
      </c>
      <c r="B25" s="120"/>
      <c r="C25" s="67">
        <v>739358</v>
      </c>
      <c r="D25" s="121"/>
      <c r="E25" s="67">
        <v>739358</v>
      </c>
      <c r="F25" s="121"/>
      <c r="G25" s="67">
        <f t="shared" si="0"/>
        <v>0</v>
      </c>
      <c r="H25" s="120"/>
      <c r="I25" s="91">
        <f t="shared" si="1"/>
        <v>0</v>
      </c>
      <c r="J25" s="120"/>
    </row>
    <row r="26" spans="1:10" ht="15" hidden="1">
      <c r="A26" s="120" t="s">
        <v>103</v>
      </c>
      <c r="B26" s="120"/>
      <c r="C26" s="67">
        <v>92600</v>
      </c>
      <c r="D26" s="121"/>
      <c r="E26" s="67">
        <v>92600</v>
      </c>
      <c r="F26" s="121"/>
      <c r="G26" s="67">
        <f t="shared" si="0"/>
        <v>0</v>
      </c>
      <c r="H26" s="120"/>
      <c r="I26" s="91">
        <f t="shared" si="1"/>
        <v>0</v>
      </c>
      <c r="J26" s="120"/>
    </row>
    <row r="27" spans="1:10" ht="15" hidden="1">
      <c r="A27" s="120" t="s">
        <v>96</v>
      </c>
      <c r="B27" s="120"/>
      <c r="C27" s="67">
        <v>96286</v>
      </c>
      <c r="D27" s="121"/>
      <c r="E27" s="67">
        <v>96286</v>
      </c>
      <c r="F27" s="121"/>
      <c r="G27" s="67">
        <f t="shared" si="0"/>
        <v>0</v>
      </c>
      <c r="H27" s="120"/>
      <c r="I27" s="91">
        <f t="shared" si="1"/>
        <v>0</v>
      </c>
      <c r="J27" s="120"/>
    </row>
    <row r="28" spans="1:10" ht="15" hidden="1">
      <c r="A28" s="120" t="s">
        <v>97</v>
      </c>
      <c r="B28" s="120"/>
      <c r="C28" s="67">
        <v>161750</v>
      </c>
      <c r="D28" s="121"/>
      <c r="E28" s="67">
        <v>161750</v>
      </c>
      <c r="F28" s="121"/>
      <c r="G28" s="67">
        <f t="shared" si="0"/>
        <v>0</v>
      </c>
      <c r="H28" s="120"/>
      <c r="I28" s="91">
        <f t="shared" si="1"/>
        <v>0</v>
      </c>
      <c r="J28" s="120"/>
    </row>
    <row r="29" spans="1:10" ht="15" hidden="1">
      <c r="A29" s="120" t="s">
        <v>98</v>
      </c>
      <c r="B29" s="120"/>
      <c r="C29" s="67">
        <v>550000</v>
      </c>
      <c r="D29" s="121"/>
      <c r="E29" s="67">
        <v>550000</v>
      </c>
      <c r="F29" s="121"/>
      <c r="G29" s="67">
        <f t="shared" si="0"/>
        <v>0</v>
      </c>
      <c r="H29" s="120"/>
      <c r="I29" s="91">
        <f t="shared" si="1"/>
        <v>0</v>
      </c>
      <c r="J29" s="120"/>
    </row>
    <row r="30" spans="1:10" ht="15" hidden="1">
      <c r="A30" s="120" t="s">
        <v>110</v>
      </c>
      <c r="B30" s="120"/>
      <c r="C30" s="67">
        <v>600000</v>
      </c>
      <c r="D30" s="121"/>
      <c r="E30" s="67">
        <v>600000</v>
      </c>
      <c r="F30" s="121"/>
      <c r="G30" s="67">
        <f t="shared" si="0"/>
        <v>0</v>
      </c>
      <c r="H30" s="120"/>
      <c r="I30" s="91">
        <f t="shared" si="1"/>
        <v>0</v>
      </c>
      <c r="J30" s="120"/>
    </row>
    <row r="31" spans="1:10" ht="15" hidden="1">
      <c r="A31" s="120" t="s">
        <v>99</v>
      </c>
      <c r="B31" s="120"/>
      <c r="C31" s="67">
        <v>508999</v>
      </c>
      <c r="D31" s="121"/>
      <c r="E31" s="67">
        <v>508999</v>
      </c>
      <c r="F31" s="121"/>
      <c r="G31" s="67">
        <f t="shared" si="0"/>
        <v>0</v>
      </c>
      <c r="H31" s="120"/>
      <c r="I31" s="91">
        <f t="shared" si="1"/>
        <v>0</v>
      </c>
      <c r="J31" s="120"/>
    </row>
    <row r="32" spans="1:10" ht="15" hidden="1">
      <c r="A32" s="120" t="s">
        <v>100</v>
      </c>
      <c r="B32" s="120"/>
      <c r="C32" s="67">
        <v>682193</v>
      </c>
      <c r="D32" s="121"/>
      <c r="E32" s="67">
        <v>682193</v>
      </c>
      <c r="F32" s="121"/>
      <c r="G32" s="67">
        <f t="shared" si="0"/>
        <v>0</v>
      </c>
      <c r="H32" s="120"/>
      <c r="I32" s="91">
        <f t="shared" si="1"/>
        <v>0</v>
      </c>
      <c r="J32" s="120"/>
    </row>
    <row r="33" spans="1:10" ht="15.75" hidden="1" thickBot="1">
      <c r="A33" s="120" t="s">
        <v>74</v>
      </c>
      <c r="B33" s="120"/>
      <c r="C33" s="74">
        <f>SUM(C20:C32)</f>
        <v>17912306</v>
      </c>
      <c r="D33" s="121"/>
      <c r="E33" s="74">
        <f>SUM(E20:E32)</f>
        <v>17912306</v>
      </c>
      <c r="F33" s="121"/>
      <c r="G33" s="74">
        <f t="shared" si="0"/>
        <v>0</v>
      </c>
      <c r="H33" s="120"/>
      <c r="I33" s="97">
        <f t="shared" si="1"/>
        <v>0</v>
      </c>
      <c r="J33" s="120"/>
    </row>
    <row r="34" spans="1:10" ht="15">
      <c r="A34" s="120"/>
      <c r="B34" s="120"/>
      <c r="C34" s="67"/>
      <c r="D34" s="121"/>
      <c r="E34" s="67"/>
      <c r="F34" s="121"/>
      <c r="G34" s="67"/>
      <c r="H34" s="120"/>
      <c r="I34" s="91"/>
      <c r="J34" s="120"/>
    </row>
    <row r="35" spans="1:10" ht="15">
      <c r="A35" s="60" t="s">
        <v>123</v>
      </c>
      <c r="B35" s="120"/>
      <c r="C35" s="67"/>
      <c r="D35" s="121"/>
      <c r="E35" s="67"/>
      <c r="F35" s="121"/>
      <c r="G35" s="67"/>
      <c r="H35" s="120"/>
      <c r="I35" s="91"/>
      <c r="J35" s="120"/>
    </row>
    <row r="36" spans="1:10" ht="6.75" customHeight="1">
      <c r="A36" s="120"/>
      <c r="B36" s="120"/>
      <c r="C36" s="67"/>
      <c r="D36" s="121"/>
      <c r="E36" s="67"/>
      <c r="F36" s="121"/>
      <c r="G36" s="67"/>
      <c r="H36" s="120"/>
      <c r="I36" s="91"/>
      <c r="J36" s="120"/>
    </row>
    <row r="37" spans="1:10" ht="15">
      <c r="A37" s="120" t="s">
        <v>111</v>
      </c>
      <c r="B37" s="120"/>
      <c r="C37" s="84">
        <v>13590092</v>
      </c>
      <c r="D37" s="121"/>
      <c r="E37" s="84">
        <v>15075424</v>
      </c>
      <c r="F37" s="121"/>
      <c r="G37" s="67">
        <f aca="true" t="shared" si="2" ref="G37:G45">E37-C37</f>
        <v>1485332</v>
      </c>
      <c r="H37" s="120"/>
      <c r="I37" s="91">
        <f aca="true" t="shared" si="3" ref="I37:I43">(E37-C37)/C37</f>
        <v>0.10929521301253885</v>
      </c>
      <c r="J37" s="120"/>
    </row>
    <row r="38" spans="1:10" ht="15">
      <c r="A38" s="120" t="s">
        <v>112</v>
      </c>
      <c r="B38" s="120"/>
      <c r="C38" s="78">
        <v>635760</v>
      </c>
      <c r="D38" s="121"/>
      <c r="E38" s="78">
        <v>597381</v>
      </c>
      <c r="F38" s="121"/>
      <c r="G38" s="67">
        <f t="shared" si="2"/>
        <v>-38379</v>
      </c>
      <c r="H38" s="120"/>
      <c r="I38" s="91">
        <f t="shared" si="3"/>
        <v>-0.06036711966779917</v>
      </c>
      <c r="J38" s="120"/>
    </row>
    <row r="39" spans="1:10" ht="15">
      <c r="A39" s="120" t="s">
        <v>113</v>
      </c>
      <c r="B39" s="120"/>
      <c r="C39" s="78">
        <f>2140551-C38</f>
        <v>1504791</v>
      </c>
      <c r="D39" s="121"/>
      <c r="E39" s="78">
        <f>1586959-E38</f>
        <v>989578</v>
      </c>
      <c r="F39" s="121"/>
      <c r="G39" s="67">
        <f t="shared" si="2"/>
        <v>-515213</v>
      </c>
      <c r="H39" s="120"/>
      <c r="I39" s="91">
        <f t="shared" si="3"/>
        <v>-0.34238176597281617</v>
      </c>
      <c r="J39" s="120"/>
    </row>
    <row r="40" spans="1:10" ht="15">
      <c r="A40" s="120" t="s">
        <v>114</v>
      </c>
      <c r="B40" s="120"/>
      <c r="C40" s="78">
        <v>1905526</v>
      </c>
      <c r="D40" s="121"/>
      <c r="E40" s="78">
        <v>2411403</v>
      </c>
      <c r="F40" s="121"/>
      <c r="G40" s="67">
        <f t="shared" si="2"/>
        <v>505877</v>
      </c>
      <c r="H40" s="120"/>
      <c r="I40" s="91">
        <f t="shared" si="3"/>
        <v>0.26547892812798146</v>
      </c>
      <c r="J40" s="120"/>
    </row>
    <row r="41" spans="1:10" ht="15">
      <c r="A41" s="120" t="s">
        <v>115</v>
      </c>
      <c r="B41" s="120"/>
      <c r="C41" s="78">
        <v>2561403</v>
      </c>
      <c r="D41" s="121"/>
      <c r="E41" s="78">
        <v>3046791</v>
      </c>
      <c r="F41" s="121"/>
      <c r="G41" s="67">
        <f t="shared" si="2"/>
        <v>485388</v>
      </c>
      <c r="H41" s="120"/>
      <c r="I41" s="91">
        <f t="shared" si="3"/>
        <v>0.1895008321611242</v>
      </c>
      <c r="J41" s="120"/>
    </row>
    <row r="42" spans="1:10" ht="15">
      <c r="A42" s="120" t="s">
        <v>116</v>
      </c>
      <c r="B42" s="120"/>
      <c r="C42" s="79">
        <v>3187428</v>
      </c>
      <c r="D42" s="121"/>
      <c r="E42" s="79">
        <v>3448481</v>
      </c>
      <c r="F42" s="121"/>
      <c r="G42" s="67">
        <f t="shared" si="2"/>
        <v>261053</v>
      </c>
      <c r="H42" s="120"/>
      <c r="I42" s="91">
        <f t="shared" si="3"/>
        <v>0.08190083038738444</v>
      </c>
      <c r="J42" s="120"/>
    </row>
    <row r="43" spans="1:10" ht="15">
      <c r="A43" s="120" t="s">
        <v>110</v>
      </c>
      <c r="B43" s="120"/>
      <c r="C43" s="79">
        <v>800000</v>
      </c>
      <c r="D43" s="121"/>
      <c r="E43" s="79">
        <v>840000</v>
      </c>
      <c r="F43" s="121"/>
      <c r="G43" s="67">
        <f t="shared" si="2"/>
        <v>40000</v>
      </c>
      <c r="H43" s="120"/>
      <c r="I43" s="91">
        <f t="shared" si="3"/>
        <v>0.05</v>
      </c>
      <c r="J43" s="120"/>
    </row>
    <row r="44" spans="1:10" ht="6.75" customHeight="1">
      <c r="A44" s="120"/>
      <c r="B44" s="120"/>
      <c r="C44" s="79"/>
      <c r="D44" s="121"/>
      <c r="E44" s="79"/>
      <c r="F44" s="121"/>
      <c r="G44" s="67"/>
      <c r="H44" s="120"/>
      <c r="I44" s="91"/>
      <c r="J44" s="120"/>
    </row>
    <row r="45" spans="1:9" s="122" customFormat="1" ht="18.75" thickBot="1">
      <c r="A45" s="112" t="s">
        <v>46</v>
      </c>
      <c r="C45" s="85">
        <f>SUM(C37:C43)</f>
        <v>24185000</v>
      </c>
      <c r="D45" s="86"/>
      <c r="E45" s="85">
        <f>SUM(E37:E43)</f>
        <v>26409058</v>
      </c>
      <c r="F45" s="123"/>
      <c r="G45" s="82">
        <f t="shared" si="2"/>
        <v>2224058</v>
      </c>
      <c r="I45" s="100">
        <f>(E45-C45)/C45</f>
        <v>0.09196022327889188</v>
      </c>
    </row>
    <row r="46" spans="1:10" ht="15.75" thickTop="1">
      <c r="A46" s="120"/>
      <c r="B46" s="120"/>
      <c r="C46" s="67"/>
      <c r="D46" s="121"/>
      <c r="E46" s="67"/>
      <c r="F46" s="121"/>
      <c r="G46" s="67"/>
      <c r="H46" s="120"/>
      <c r="I46" s="91"/>
      <c r="J46" s="120"/>
    </row>
    <row r="47" spans="1:10" ht="15">
      <c r="A47" s="120"/>
      <c r="B47" s="120"/>
      <c r="C47" s="67"/>
      <c r="D47" s="121"/>
      <c r="E47" s="67"/>
      <c r="F47" s="121"/>
      <c r="G47" s="67"/>
      <c r="H47" s="120"/>
      <c r="I47" s="91"/>
      <c r="J47" s="120"/>
    </row>
    <row r="48" spans="1:10" ht="15">
      <c r="A48" s="120"/>
      <c r="B48" s="120"/>
      <c r="C48" s="67"/>
      <c r="D48" s="121"/>
      <c r="E48" s="67"/>
      <c r="F48" s="121"/>
      <c r="G48" s="67"/>
      <c r="H48" s="120"/>
      <c r="I48" s="91"/>
      <c r="J48" s="120"/>
    </row>
    <row r="49" spans="1:10" ht="15">
      <c r="A49" s="120"/>
      <c r="B49" s="120"/>
      <c r="C49" s="67"/>
      <c r="D49" s="121"/>
      <c r="E49" s="67"/>
      <c r="F49" s="121"/>
      <c r="G49" s="67"/>
      <c r="H49" s="120"/>
      <c r="I49" s="91"/>
      <c r="J49" s="120"/>
    </row>
  </sheetData>
  <sheetProtection/>
  <printOptions horizontalCentered="1"/>
  <pageMargins left="1" right="1" top="1" bottom="1" header="0.5" footer="0.5"/>
  <pageSetup fitToHeight="1" fitToWidth="1" horizontalDpi="300" verticalDpi="300" orientation="landscape" scale="84" r:id="rId1"/>
  <headerFooter alignWithMargins="0">
    <oddHeader>&amp;C
&amp;"Arial,Bold"&amp;18OSU - OKLAHOMA CITY
SUMMARY OF REVENUE &amp;&amp; EXPENDITURES
Education &amp;&amp; General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zoomScale="85" zoomScaleNormal="85" zoomScalePageLayoutView="0" workbookViewId="0" topLeftCell="A1">
      <selection activeCell="E8" sqref="E8"/>
    </sheetView>
  </sheetViews>
  <sheetFormatPr defaultColWidth="9.140625" defaultRowHeight="12.75"/>
  <cols>
    <col min="1" max="1" width="54.421875" style="49" customWidth="1"/>
    <col min="2" max="2" width="8.57421875" style="49" customWidth="1"/>
    <col min="3" max="3" width="20.57421875" style="27" customWidth="1"/>
    <col min="4" max="4" width="9.140625" style="51" customWidth="1"/>
    <col min="5" max="5" width="20.57421875" style="27" customWidth="1"/>
    <col min="6" max="6" width="9.140625" style="51" customWidth="1"/>
    <col min="7" max="7" width="15.8515625" style="27" hidden="1" customWidth="1"/>
    <col min="8" max="8" width="0" style="49" hidden="1" customWidth="1"/>
    <col min="9" max="9" width="16.7109375" style="31" customWidth="1"/>
    <col min="10" max="16384" width="9.140625" style="49" customWidth="1"/>
  </cols>
  <sheetData>
    <row r="1" ht="90.75" customHeight="1">
      <c r="A1" s="50"/>
    </row>
    <row r="2" spans="3:9" ht="15.75">
      <c r="C2" s="62"/>
      <c r="D2" s="62"/>
      <c r="E2" s="62"/>
      <c r="F2" s="62"/>
      <c r="G2" s="63" t="s">
        <v>47</v>
      </c>
      <c r="H2" s="61"/>
      <c r="I2" s="64" t="s">
        <v>124</v>
      </c>
    </row>
    <row r="3" spans="3:9" ht="15.75">
      <c r="C3" s="63" t="s">
        <v>130</v>
      </c>
      <c r="D3" s="62"/>
      <c r="E3" s="63" t="s">
        <v>134</v>
      </c>
      <c r="F3" s="62"/>
      <c r="G3" s="63" t="s">
        <v>49</v>
      </c>
      <c r="H3" s="61"/>
      <c r="I3" s="64" t="s">
        <v>49</v>
      </c>
    </row>
    <row r="4" spans="3:9" ht="15.75">
      <c r="C4" s="65" t="s">
        <v>48</v>
      </c>
      <c r="D4" s="62"/>
      <c r="E4" s="65" t="s">
        <v>48</v>
      </c>
      <c r="F4" s="62"/>
      <c r="G4" s="65" t="s">
        <v>50</v>
      </c>
      <c r="H4" s="61"/>
      <c r="I4" s="66" t="s">
        <v>50</v>
      </c>
    </row>
    <row r="5" spans="1:10" ht="15">
      <c r="A5" s="124" t="s">
        <v>51</v>
      </c>
      <c r="B5" s="124"/>
      <c r="C5" s="67"/>
      <c r="D5" s="125"/>
      <c r="E5" s="67"/>
      <c r="F5" s="125"/>
      <c r="G5" s="67"/>
      <c r="H5" s="124"/>
      <c r="I5" s="91"/>
      <c r="J5" s="124"/>
    </row>
    <row r="6" spans="1:10" ht="6.75" customHeight="1">
      <c r="A6" s="124"/>
      <c r="B6" s="124"/>
      <c r="C6" s="67"/>
      <c r="D6" s="125"/>
      <c r="E6" s="67"/>
      <c r="F6" s="125"/>
      <c r="G6" s="67"/>
      <c r="H6" s="124"/>
      <c r="I6" s="91"/>
      <c r="J6" s="124"/>
    </row>
    <row r="7" spans="1:10" ht="15">
      <c r="A7" s="124" t="s">
        <v>83</v>
      </c>
      <c r="B7" s="124"/>
      <c r="C7" s="84">
        <v>14448536</v>
      </c>
      <c r="D7" s="84"/>
      <c r="E7" s="84">
        <v>13721226</v>
      </c>
      <c r="F7" s="125"/>
      <c r="G7" s="67">
        <f aca="true" t="shared" si="0" ref="G7:G15">E7-C7</f>
        <v>-727310</v>
      </c>
      <c r="H7" s="124"/>
      <c r="I7" s="91">
        <f aca="true" t="shared" si="1" ref="I7:I12">(E7-C7)/C7</f>
        <v>-0.050337971957850954</v>
      </c>
      <c r="J7" s="124"/>
    </row>
    <row r="8" spans="1:10" ht="15">
      <c r="A8" s="124" t="s">
        <v>105</v>
      </c>
      <c r="B8" s="124"/>
      <c r="C8" s="94">
        <v>8032341</v>
      </c>
      <c r="D8" s="125"/>
      <c r="E8" s="94">
        <f>7050854+1125491+184078</f>
        <v>8360423</v>
      </c>
      <c r="F8" s="125"/>
      <c r="G8" s="67">
        <f t="shared" si="0"/>
        <v>328082</v>
      </c>
      <c r="H8" s="124"/>
      <c r="I8" s="91">
        <f t="shared" si="1"/>
        <v>0.04084512846254909</v>
      </c>
      <c r="J8" s="124"/>
    </row>
    <row r="9" spans="1:10" ht="15">
      <c r="A9" s="124" t="s">
        <v>117</v>
      </c>
      <c r="B9" s="124"/>
      <c r="C9" s="94">
        <f>6300000+294705+463318</f>
        <v>7058023</v>
      </c>
      <c r="D9" s="125"/>
      <c r="E9" s="94">
        <f>6680000+295376+170536</f>
        <v>7145912</v>
      </c>
      <c r="F9" s="125"/>
      <c r="G9" s="67">
        <f t="shared" si="0"/>
        <v>87889</v>
      </c>
      <c r="H9" s="124"/>
      <c r="I9" s="91">
        <f t="shared" si="1"/>
        <v>0.01245235386736484</v>
      </c>
      <c r="J9" s="124"/>
    </row>
    <row r="10" spans="1:10" ht="15">
      <c r="A10" s="116" t="s">
        <v>118</v>
      </c>
      <c r="B10" s="124"/>
      <c r="C10" s="94">
        <v>18000000</v>
      </c>
      <c r="D10" s="125"/>
      <c r="E10" s="94">
        <v>20400000</v>
      </c>
      <c r="F10" s="125"/>
      <c r="G10" s="67">
        <f t="shared" si="0"/>
        <v>2400000</v>
      </c>
      <c r="H10" s="124"/>
      <c r="I10" s="91">
        <f t="shared" si="1"/>
        <v>0.13333333333333333</v>
      </c>
      <c r="J10" s="124"/>
    </row>
    <row r="11" spans="1:10" ht="15">
      <c r="A11" s="124" t="s">
        <v>107</v>
      </c>
      <c r="B11" s="124"/>
      <c r="C11" s="126">
        <v>0</v>
      </c>
      <c r="D11" s="127"/>
      <c r="E11" s="126">
        <v>0</v>
      </c>
      <c r="F11" s="127"/>
      <c r="G11" s="72">
        <f t="shared" si="0"/>
        <v>0</v>
      </c>
      <c r="H11" s="124"/>
      <c r="I11" s="91" t="e">
        <f t="shared" si="1"/>
        <v>#DIV/0!</v>
      </c>
      <c r="J11" s="124"/>
    </row>
    <row r="12" spans="1:10" ht="15">
      <c r="A12" s="124" t="s">
        <v>121</v>
      </c>
      <c r="B12" s="124"/>
      <c r="C12" s="94">
        <f>6428460-C11</f>
        <v>6428460</v>
      </c>
      <c r="D12" s="125"/>
      <c r="E12" s="94">
        <f>5061943-E11</f>
        <v>5061943</v>
      </c>
      <c r="F12" s="125"/>
      <c r="G12" s="72">
        <f t="shared" si="0"/>
        <v>-1366517</v>
      </c>
      <c r="H12" s="124"/>
      <c r="I12" s="91">
        <f t="shared" si="1"/>
        <v>-0.21257299570970342</v>
      </c>
      <c r="J12" s="124"/>
    </row>
    <row r="13" spans="1:10" ht="15">
      <c r="A13" s="88" t="s">
        <v>132</v>
      </c>
      <c r="B13" s="124"/>
      <c r="C13" s="94">
        <v>1138890</v>
      </c>
      <c r="D13" s="125"/>
      <c r="E13" s="94">
        <v>989933</v>
      </c>
      <c r="F13" s="125"/>
      <c r="G13" s="72"/>
      <c r="H13" s="124"/>
      <c r="I13" s="91">
        <v>1</v>
      </c>
      <c r="J13" s="124"/>
    </row>
    <row r="14" spans="1:10" ht="5.25" customHeight="1">
      <c r="A14" s="124"/>
      <c r="B14" s="124"/>
      <c r="C14" s="94"/>
      <c r="D14" s="125"/>
      <c r="E14" s="94"/>
      <c r="F14" s="125"/>
      <c r="G14" s="72"/>
      <c r="H14" s="124"/>
      <c r="I14" s="96"/>
      <c r="J14" s="124"/>
    </row>
    <row r="15" spans="1:10" ht="15">
      <c r="A15" s="124" t="s">
        <v>29</v>
      </c>
      <c r="B15" s="124"/>
      <c r="C15" s="87">
        <f>SUM(C7:C13)</f>
        <v>55106250</v>
      </c>
      <c r="D15" s="84"/>
      <c r="E15" s="87">
        <f>SUM(E7:E13)</f>
        <v>55679437</v>
      </c>
      <c r="F15" s="125"/>
      <c r="G15" s="70">
        <f t="shared" si="0"/>
        <v>573187</v>
      </c>
      <c r="H15" s="124"/>
      <c r="I15" s="95">
        <f>(E15-C15)/C15</f>
        <v>0.010401488034478847</v>
      </c>
      <c r="J15" s="124"/>
    </row>
    <row r="16" spans="1:10" ht="15">
      <c r="A16" s="124"/>
      <c r="B16" s="124"/>
      <c r="C16" s="72"/>
      <c r="D16" s="125"/>
      <c r="E16" s="72"/>
      <c r="F16" s="125"/>
      <c r="G16" s="72"/>
      <c r="H16" s="124"/>
      <c r="I16" s="96"/>
      <c r="J16" s="124"/>
    </row>
    <row r="17" spans="1:10" ht="15">
      <c r="A17" s="116" t="s">
        <v>30</v>
      </c>
      <c r="B17" s="124"/>
      <c r="C17" s="67">
        <v>1858306</v>
      </c>
      <c r="D17" s="125"/>
      <c r="E17" s="67">
        <v>1460433</v>
      </c>
      <c r="F17" s="125"/>
      <c r="G17" s="67">
        <f>E17-C17</f>
        <v>-397873</v>
      </c>
      <c r="H17" s="124"/>
      <c r="I17" s="91">
        <f>(E17-C17)/C17</f>
        <v>-0.21410521195109955</v>
      </c>
      <c r="J17" s="124"/>
    </row>
    <row r="18" spans="1:10" ht="15">
      <c r="A18" s="116"/>
      <c r="B18" s="124"/>
      <c r="C18" s="67"/>
      <c r="D18" s="125"/>
      <c r="E18" s="67"/>
      <c r="F18" s="125"/>
      <c r="G18" s="67"/>
      <c r="H18" s="124"/>
      <c r="I18" s="91"/>
      <c r="J18" s="124"/>
    </row>
    <row r="19" spans="1:9" s="128" customFormat="1" ht="18.75" thickBot="1">
      <c r="A19" s="128" t="s">
        <v>35</v>
      </c>
      <c r="C19" s="85">
        <f>SUM(C15:C17)</f>
        <v>56964556</v>
      </c>
      <c r="D19" s="86"/>
      <c r="E19" s="85">
        <f>SUM(E15:E17)</f>
        <v>57139870</v>
      </c>
      <c r="F19" s="129"/>
      <c r="G19" s="82">
        <f>E19-C19</f>
        <v>175314</v>
      </c>
      <c r="I19" s="100">
        <f>(E19-C19)/C19</f>
        <v>0.0030775979365133647</v>
      </c>
    </row>
    <row r="20" spans="1:10" ht="15.75" thickTop="1">
      <c r="A20" s="124"/>
      <c r="B20" s="124"/>
      <c r="C20" s="67"/>
      <c r="D20" s="125"/>
      <c r="E20" s="67"/>
      <c r="F20" s="125"/>
      <c r="G20" s="67"/>
      <c r="H20" s="124"/>
      <c r="I20" s="91"/>
      <c r="J20" s="124"/>
    </row>
    <row r="21" spans="1:10" ht="15" hidden="1">
      <c r="A21" s="124" t="s">
        <v>59</v>
      </c>
      <c r="B21" s="124"/>
      <c r="C21" s="67"/>
      <c r="D21" s="125"/>
      <c r="E21" s="67"/>
      <c r="F21" s="125"/>
      <c r="G21" s="67"/>
      <c r="H21" s="124"/>
      <c r="I21" s="91"/>
      <c r="J21" s="124"/>
    </row>
    <row r="22" spans="1:10" ht="15" hidden="1">
      <c r="A22" s="124" t="s">
        <v>109</v>
      </c>
      <c r="B22" s="124"/>
      <c r="C22" s="94">
        <v>9065570</v>
      </c>
      <c r="D22" s="125"/>
      <c r="E22" s="94">
        <v>9065570</v>
      </c>
      <c r="F22" s="125"/>
      <c r="G22" s="67">
        <f aca="true" t="shared" si="2" ref="G22:G35">E22-C22</f>
        <v>0</v>
      </c>
      <c r="H22" s="124"/>
      <c r="I22" s="91">
        <f aca="true" t="shared" si="3" ref="I22:I35">G22/C22</f>
        <v>0</v>
      </c>
      <c r="J22" s="124"/>
    </row>
    <row r="23" spans="1:10" ht="15" hidden="1">
      <c r="A23" s="124" t="s">
        <v>91</v>
      </c>
      <c r="B23" s="124"/>
      <c r="C23" s="94">
        <v>5507199</v>
      </c>
      <c r="D23" s="125"/>
      <c r="E23" s="94">
        <v>5507199</v>
      </c>
      <c r="F23" s="125"/>
      <c r="G23" s="67">
        <f t="shared" si="2"/>
        <v>0</v>
      </c>
      <c r="H23" s="124"/>
      <c r="I23" s="91">
        <f t="shared" si="3"/>
        <v>0</v>
      </c>
      <c r="J23" s="124"/>
    </row>
    <row r="24" spans="1:10" ht="15" hidden="1">
      <c r="A24" s="124" t="s">
        <v>92</v>
      </c>
      <c r="B24" s="124"/>
      <c r="C24" s="94">
        <v>2319953</v>
      </c>
      <c r="D24" s="125"/>
      <c r="E24" s="94">
        <v>2319953</v>
      </c>
      <c r="F24" s="125"/>
      <c r="G24" s="67">
        <f t="shared" si="2"/>
        <v>0</v>
      </c>
      <c r="H24" s="124"/>
      <c r="I24" s="91">
        <f t="shared" si="3"/>
        <v>0</v>
      </c>
      <c r="J24" s="124"/>
    </row>
    <row r="25" spans="1:10" ht="15" hidden="1">
      <c r="A25" s="124" t="s">
        <v>93</v>
      </c>
      <c r="B25" s="124"/>
      <c r="C25" s="94">
        <v>5870408</v>
      </c>
      <c r="D25" s="125"/>
      <c r="E25" s="94">
        <v>5870408</v>
      </c>
      <c r="F25" s="125"/>
      <c r="G25" s="67">
        <f t="shared" si="2"/>
        <v>0</v>
      </c>
      <c r="H25" s="124"/>
      <c r="I25" s="91">
        <f t="shared" si="3"/>
        <v>0</v>
      </c>
      <c r="J25" s="124"/>
    </row>
    <row r="26" spans="1:10" ht="15" hidden="1">
      <c r="A26" s="124" t="s">
        <v>94</v>
      </c>
      <c r="B26" s="124"/>
      <c r="C26" s="94">
        <v>1495530</v>
      </c>
      <c r="D26" s="125"/>
      <c r="E26" s="94">
        <v>1495530</v>
      </c>
      <c r="F26" s="125"/>
      <c r="G26" s="67">
        <f t="shared" si="2"/>
        <v>0</v>
      </c>
      <c r="H26" s="124"/>
      <c r="I26" s="91">
        <f t="shared" si="3"/>
        <v>0</v>
      </c>
      <c r="J26" s="124"/>
    </row>
    <row r="27" spans="1:10" ht="15" hidden="1">
      <c r="A27" s="124" t="s">
        <v>95</v>
      </c>
      <c r="B27" s="124"/>
      <c r="C27" s="94">
        <v>763404</v>
      </c>
      <c r="D27" s="125"/>
      <c r="E27" s="94">
        <v>763404</v>
      </c>
      <c r="F27" s="125"/>
      <c r="G27" s="67">
        <f t="shared" si="2"/>
        <v>0</v>
      </c>
      <c r="H27" s="124"/>
      <c r="I27" s="91">
        <f t="shared" si="3"/>
        <v>0</v>
      </c>
      <c r="J27" s="124"/>
    </row>
    <row r="28" spans="1:10" ht="15" hidden="1">
      <c r="A28" s="124" t="s">
        <v>103</v>
      </c>
      <c r="B28" s="124"/>
      <c r="C28" s="94">
        <v>295934</v>
      </c>
      <c r="D28" s="125"/>
      <c r="E28" s="94">
        <v>295934</v>
      </c>
      <c r="F28" s="125"/>
      <c r="G28" s="67">
        <f t="shared" si="2"/>
        <v>0</v>
      </c>
      <c r="H28" s="124"/>
      <c r="I28" s="91">
        <f t="shared" si="3"/>
        <v>0</v>
      </c>
      <c r="J28" s="124"/>
    </row>
    <row r="29" spans="1:10" ht="15" hidden="1">
      <c r="A29" s="124" t="s">
        <v>96</v>
      </c>
      <c r="B29" s="124"/>
      <c r="C29" s="94">
        <v>313226</v>
      </c>
      <c r="D29" s="125"/>
      <c r="E29" s="94">
        <v>313226</v>
      </c>
      <c r="F29" s="125"/>
      <c r="G29" s="67">
        <f t="shared" si="2"/>
        <v>0</v>
      </c>
      <c r="H29" s="124"/>
      <c r="I29" s="91">
        <f t="shared" si="3"/>
        <v>0</v>
      </c>
      <c r="J29" s="124"/>
    </row>
    <row r="30" spans="1:10" ht="15" hidden="1">
      <c r="A30" s="124" t="s">
        <v>97</v>
      </c>
      <c r="B30" s="124"/>
      <c r="C30" s="94">
        <v>447980</v>
      </c>
      <c r="D30" s="125"/>
      <c r="E30" s="94">
        <v>447980</v>
      </c>
      <c r="F30" s="125"/>
      <c r="G30" s="67">
        <f t="shared" si="2"/>
        <v>0</v>
      </c>
      <c r="H30" s="124"/>
      <c r="I30" s="91">
        <f t="shared" si="3"/>
        <v>0</v>
      </c>
      <c r="J30" s="124"/>
    </row>
    <row r="31" spans="1:10" ht="15" hidden="1">
      <c r="A31" s="124" t="s">
        <v>98</v>
      </c>
      <c r="B31" s="124"/>
      <c r="C31" s="94">
        <v>375424</v>
      </c>
      <c r="D31" s="125"/>
      <c r="E31" s="94">
        <v>375424</v>
      </c>
      <c r="F31" s="125"/>
      <c r="G31" s="67">
        <f t="shared" si="2"/>
        <v>0</v>
      </c>
      <c r="H31" s="124"/>
      <c r="I31" s="91">
        <f t="shared" si="3"/>
        <v>0</v>
      </c>
      <c r="J31" s="124"/>
    </row>
    <row r="32" spans="1:10" ht="15" hidden="1">
      <c r="A32" s="124" t="s">
        <v>122</v>
      </c>
      <c r="B32" s="124"/>
      <c r="C32" s="94">
        <v>80000</v>
      </c>
      <c r="D32" s="125"/>
      <c r="E32" s="94">
        <v>80000</v>
      </c>
      <c r="F32" s="125"/>
      <c r="G32" s="67">
        <f t="shared" si="2"/>
        <v>0</v>
      </c>
      <c r="H32" s="124"/>
      <c r="I32" s="91">
        <f t="shared" si="3"/>
        <v>0</v>
      </c>
      <c r="J32" s="124"/>
    </row>
    <row r="33" spans="1:10" ht="15" hidden="1">
      <c r="A33" s="124" t="s">
        <v>99</v>
      </c>
      <c r="B33" s="124"/>
      <c r="C33" s="94">
        <v>4086531</v>
      </c>
      <c r="D33" s="125"/>
      <c r="E33" s="94">
        <v>4086531</v>
      </c>
      <c r="F33" s="125"/>
      <c r="G33" s="67">
        <f t="shared" si="2"/>
        <v>0</v>
      </c>
      <c r="H33" s="124"/>
      <c r="I33" s="91">
        <f t="shared" si="3"/>
        <v>0</v>
      </c>
      <c r="J33" s="124"/>
    </row>
    <row r="34" spans="1:10" ht="15" hidden="1">
      <c r="A34" s="124" t="s">
        <v>100</v>
      </c>
      <c r="B34" s="124"/>
      <c r="C34" s="94">
        <v>6627127</v>
      </c>
      <c r="D34" s="125"/>
      <c r="E34" s="94">
        <v>6627127</v>
      </c>
      <c r="F34" s="125"/>
      <c r="G34" s="67">
        <f t="shared" si="2"/>
        <v>0</v>
      </c>
      <c r="H34" s="124"/>
      <c r="I34" s="91">
        <f t="shared" si="3"/>
        <v>0</v>
      </c>
      <c r="J34" s="124"/>
    </row>
    <row r="35" spans="1:10" ht="15.75" hidden="1" thickBot="1">
      <c r="A35" s="124" t="s">
        <v>74</v>
      </c>
      <c r="B35" s="124"/>
      <c r="C35" s="74">
        <f>SUM(C22:C34)</f>
        <v>37248286</v>
      </c>
      <c r="D35" s="125"/>
      <c r="E35" s="74">
        <f>SUM(E22:E34)</f>
        <v>37248286</v>
      </c>
      <c r="F35" s="125"/>
      <c r="G35" s="74">
        <f t="shared" si="2"/>
        <v>0</v>
      </c>
      <c r="H35" s="124"/>
      <c r="I35" s="97">
        <f t="shared" si="3"/>
        <v>0</v>
      </c>
      <c r="J35" s="124"/>
    </row>
    <row r="36" spans="1:10" ht="15">
      <c r="A36" s="124"/>
      <c r="B36" s="124"/>
      <c r="C36" s="67"/>
      <c r="D36" s="125"/>
      <c r="E36" s="67"/>
      <c r="F36" s="125"/>
      <c r="G36" s="67"/>
      <c r="H36" s="124"/>
      <c r="I36" s="91"/>
      <c r="J36" s="124"/>
    </row>
    <row r="37" spans="1:10" ht="15">
      <c r="A37" s="60" t="s">
        <v>123</v>
      </c>
      <c r="B37" s="124"/>
      <c r="C37" s="67"/>
      <c r="D37" s="125"/>
      <c r="E37" s="67"/>
      <c r="F37" s="125"/>
      <c r="G37" s="67"/>
      <c r="H37" s="124"/>
      <c r="I37" s="91"/>
      <c r="J37" s="124"/>
    </row>
    <row r="38" spans="1:10" ht="5.25" customHeight="1">
      <c r="A38" s="124"/>
      <c r="B38" s="124"/>
      <c r="C38" s="67"/>
      <c r="D38" s="125"/>
      <c r="E38" s="67"/>
      <c r="F38" s="125"/>
      <c r="G38" s="67"/>
      <c r="H38" s="124"/>
      <c r="I38" s="91"/>
      <c r="J38" s="124"/>
    </row>
    <row r="39" spans="1:10" ht="15">
      <c r="A39" s="124" t="s">
        <v>111</v>
      </c>
      <c r="B39" s="124"/>
      <c r="C39" s="84">
        <v>33644841</v>
      </c>
      <c r="D39" s="84"/>
      <c r="E39" s="84">
        <v>34718120</v>
      </c>
      <c r="F39" s="125"/>
      <c r="G39" s="67">
        <f aca="true" t="shared" si="4" ref="G39:G49">E39-C39</f>
        <v>1073279</v>
      </c>
      <c r="H39" s="124"/>
      <c r="I39" s="91">
        <f aca="true" t="shared" si="5" ref="I39:I47">(E39-C39)/C39</f>
        <v>0.031900254782003576</v>
      </c>
      <c r="J39" s="124"/>
    </row>
    <row r="40" spans="1:10" ht="15">
      <c r="A40" s="124" t="s">
        <v>119</v>
      </c>
      <c r="B40" s="124"/>
      <c r="C40" s="78">
        <v>3146520</v>
      </c>
      <c r="D40" s="125"/>
      <c r="E40" s="78">
        <v>2650990</v>
      </c>
      <c r="F40" s="125"/>
      <c r="G40" s="67">
        <f t="shared" si="4"/>
        <v>-495530</v>
      </c>
      <c r="H40" s="124"/>
      <c r="I40" s="91">
        <f t="shared" si="5"/>
        <v>-0.1574850946442419</v>
      </c>
      <c r="J40" s="124"/>
    </row>
    <row r="41" spans="1:10" ht="15">
      <c r="A41" s="124" t="s">
        <v>120</v>
      </c>
      <c r="B41" s="124"/>
      <c r="C41" s="78">
        <v>5365655</v>
      </c>
      <c r="D41" s="125"/>
      <c r="E41" s="78">
        <v>5323800</v>
      </c>
      <c r="F41" s="125"/>
      <c r="G41" s="67">
        <f t="shared" si="4"/>
        <v>-41855</v>
      </c>
      <c r="H41" s="124"/>
      <c r="I41" s="91">
        <f t="shared" si="5"/>
        <v>-0.007800538797220469</v>
      </c>
      <c r="J41" s="124"/>
    </row>
    <row r="42" spans="1:10" ht="15">
      <c r="A42" s="124" t="s">
        <v>112</v>
      </c>
      <c r="B42" s="124"/>
      <c r="C42" s="78">
        <v>1112294</v>
      </c>
      <c r="D42" s="125"/>
      <c r="E42" s="78">
        <v>1085546</v>
      </c>
      <c r="F42" s="125"/>
      <c r="G42" s="67">
        <f t="shared" si="4"/>
        <v>-26748</v>
      </c>
      <c r="H42" s="124"/>
      <c r="I42" s="91">
        <f t="shared" si="5"/>
        <v>-0.024047598926183186</v>
      </c>
      <c r="J42" s="124"/>
    </row>
    <row r="43" spans="1:10" ht="15">
      <c r="A43" s="124" t="s">
        <v>113</v>
      </c>
      <c r="B43" s="124"/>
      <c r="C43" s="78">
        <f>4144595-C42</f>
        <v>3032301</v>
      </c>
      <c r="D43" s="125"/>
      <c r="E43" s="78">
        <f>3752061-E42</f>
        <v>2666515</v>
      </c>
      <c r="F43" s="125"/>
      <c r="G43" s="67">
        <f t="shared" si="4"/>
        <v>-365786</v>
      </c>
      <c r="H43" s="124"/>
      <c r="I43" s="91">
        <f t="shared" si="5"/>
        <v>-0.12062984512421425</v>
      </c>
      <c r="J43" s="124"/>
    </row>
    <row r="44" spans="1:10" ht="15">
      <c r="A44" s="124" t="s">
        <v>114</v>
      </c>
      <c r="B44" s="124"/>
      <c r="C44" s="78">
        <v>843943</v>
      </c>
      <c r="D44" s="125"/>
      <c r="E44" s="78">
        <v>877219</v>
      </c>
      <c r="F44" s="125"/>
      <c r="G44" s="67">
        <f t="shared" si="4"/>
        <v>33276</v>
      </c>
      <c r="H44" s="124"/>
      <c r="I44" s="91">
        <f t="shared" si="5"/>
        <v>0.03942920315708525</v>
      </c>
      <c r="J44" s="124"/>
    </row>
    <row r="45" spans="1:10" ht="15">
      <c r="A45" s="124" t="s">
        <v>115</v>
      </c>
      <c r="B45" s="124"/>
      <c r="C45" s="78">
        <v>5093278</v>
      </c>
      <c r="D45" s="125"/>
      <c r="E45" s="78">
        <v>4891638</v>
      </c>
      <c r="F45" s="125"/>
      <c r="G45" s="67">
        <f t="shared" si="4"/>
        <v>-201640</v>
      </c>
      <c r="H45" s="124"/>
      <c r="I45" s="91">
        <f t="shared" si="5"/>
        <v>-0.039589435330252935</v>
      </c>
      <c r="J45" s="124"/>
    </row>
    <row r="46" spans="1:10" ht="15">
      <c r="A46" s="124" t="s">
        <v>116</v>
      </c>
      <c r="B46" s="124"/>
      <c r="C46" s="79">
        <v>4465724</v>
      </c>
      <c r="D46" s="125"/>
      <c r="E46" s="79">
        <v>4666042</v>
      </c>
      <c r="F46" s="125"/>
      <c r="G46" s="67">
        <f t="shared" si="4"/>
        <v>200318</v>
      </c>
      <c r="H46" s="124"/>
      <c r="I46" s="91">
        <f t="shared" si="5"/>
        <v>0.04485678022197521</v>
      </c>
      <c r="J46" s="124"/>
    </row>
    <row r="47" spans="1:10" ht="15">
      <c r="A47" s="124" t="s">
        <v>110</v>
      </c>
      <c r="B47" s="124"/>
      <c r="C47" s="79">
        <v>260000</v>
      </c>
      <c r="D47" s="125"/>
      <c r="E47" s="79">
        <v>260000</v>
      </c>
      <c r="F47" s="125"/>
      <c r="G47" s="67">
        <f t="shared" si="4"/>
        <v>0</v>
      </c>
      <c r="H47" s="124"/>
      <c r="I47" s="91">
        <f t="shared" si="5"/>
        <v>0</v>
      </c>
      <c r="J47" s="124"/>
    </row>
    <row r="48" spans="1:10" ht="6" customHeight="1">
      <c r="A48" s="124"/>
      <c r="B48" s="124"/>
      <c r="C48" s="79"/>
      <c r="D48" s="125"/>
      <c r="E48" s="79"/>
      <c r="F48" s="125"/>
      <c r="G48" s="67"/>
      <c r="H48" s="124"/>
      <c r="I48" s="91"/>
      <c r="J48" s="124"/>
    </row>
    <row r="49" spans="1:9" s="128" customFormat="1" ht="18.75" thickBot="1">
      <c r="A49" s="112" t="s">
        <v>46</v>
      </c>
      <c r="C49" s="85">
        <f>SUM(C39:C47)</f>
        <v>56964556</v>
      </c>
      <c r="D49" s="86"/>
      <c r="E49" s="85">
        <f>SUM(E39:E47)</f>
        <v>57139870</v>
      </c>
      <c r="F49" s="129"/>
      <c r="G49" s="82">
        <f t="shared" si="4"/>
        <v>175314</v>
      </c>
      <c r="I49" s="100">
        <f>(E49-C49)/C49</f>
        <v>0.0030775979365133647</v>
      </c>
    </row>
    <row r="50" spans="1:10" ht="15.75" thickTop="1">
      <c r="A50" s="124"/>
      <c r="B50" s="124"/>
      <c r="C50" s="67"/>
      <c r="D50" s="125"/>
      <c r="E50" s="67"/>
      <c r="F50" s="125"/>
      <c r="G50" s="67"/>
      <c r="H50" s="124"/>
      <c r="I50" s="91"/>
      <c r="J50" s="124"/>
    </row>
    <row r="51" spans="1:10" ht="15">
      <c r="A51" s="124"/>
      <c r="B51" s="124"/>
      <c r="C51" s="67"/>
      <c r="D51" s="125"/>
      <c r="E51" s="67"/>
      <c r="F51" s="125"/>
      <c r="G51" s="67"/>
      <c r="H51" s="124"/>
      <c r="I51" s="91"/>
      <c r="J51" s="124"/>
    </row>
    <row r="52" spans="1:10" ht="15">
      <c r="A52" s="124"/>
      <c r="B52" s="124"/>
      <c r="C52" s="67"/>
      <c r="D52" s="125"/>
      <c r="E52" s="67"/>
      <c r="F52" s="125"/>
      <c r="G52" s="67"/>
      <c r="H52" s="124"/>
      <c r="I52" s="91"/>
      <c r="J52" s="124"/>
    </row>
    <row r="53" spans="1:10" ht="15">
      <c r="A53" s="124"/>
      <c r="B53" s="124"/>
      <c r="C53" s="67"/>
      <c r="D53" s="125"/>
      <c r="E53" s="67"/>
      <c r="F53" s="125"/>
      <c r="G53" s="67"/>
      <c r="H53" s="124"/>
      <c r="I53" s="91"/>
      <c r="J53" s="124"/>
    </row>
  </sheetData>
  <sheetProtection/>
  <printOptions horizontalCentered="1"/>
  <pageMargins left="1" right="1" top="1" bottom="1" header="0.5" footer="0.5"/>
  <pageSetup fitToHeight="1" fitToWidth="1" horizontalDpi="300" verticalDpi="300" orientation="landscape" scale="84" r:id="rId1"/>
  <headerFooter alignWithMargins="0">
    <oddHeader>&amp;C&amp;"Arial,Bold"&amp;18
CENTER FOR HEALTH SCIENCES
SUMMARY OF REVENUE &amp;&amp; EXPENDITURES
Education &amp;&amp; General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showGridLines="0" zoomScale="85" zoomScaleNormal="85" zoomScalePageLayoutView="0" workbookViewId="0" topLeftCell="A1">
      <selection activeCell="E14" sqref="E14"/>
    </sheetView>
  </sheetViews>
  <sheetFormatPr defaultColWidth="9.140625" defaultRowHeight="12.75"/>
  <cols>
    <col min="1" max="1" width="54.421875" style="49" customWidth="1"/>
    <col min="2" max="2" width="9.140625" style="49" customWidth="1"/>
    <col min="3" max="3" width="20.57421875" style="27" customWidth="1"/>
    <col min="4" max="4" width="9.140625" style="51" customWidth="1"/>
    <col min="5" max="5" width="20.57421875" style="27" customWidth="1"/>
    <col min="6" max="6" width="9.140625" style="51" customWidth="1"/>
    <col min="7" max="7" width="15.8515625" style="27" hidden="1" customWidth="1"/>
    <col min="8" max="8" width="0" style="49" hidden="1" customWidth="1"/>
    <col min="9" max="9" width="16.57421875" style="31" customWidth="1"/>
    <col min="10" max="16384" width="9.140625" style="49" customWidth="1"/>
  </cols>
  <sheetData>
    <row r="1" ht="90.75" customHeight="1"/>
    <row r="2" spans="3:9" ht="15.75">
      <c r="C2" s="62"/>
      <c r="D2" s="62"/>
      <c r="E2" s="62"/>
      <c r="F2" s="62"/>
      <c r="G2" s="63" t="s">
        <v>47</v>
      </c>
      <c r="H2" s="61"/>
      <c r="I2" s="64" t="s">
        <v>124</v>
      </c>
    </row>
    <row r="3" spans="3:9" ht="15.75">
      <c r="C3" s="63" t="s">
        <v>130</v>
      </c>
      <c r="D3" s="62"/>
      <c r="E3" s="63" t="s">
        <v>134</v>
      </c>
      <c r="F3" s="62"/>
      <c r="G3" s="63" t="s">
        <v>49</v>
      </c>
      <c r="H3" s="61"/>
      <c r="I3" s="64" t="s">
        <v>49</v>
      </c>
    </row>
    <row r="4" spans="3:9" ht="15.75">
      <c r="C4" s="65" t="s">
        <v>48</v>
      </c>
      <c r="D4" s="62"/>
      <c r="E4" s="65" t="s">
        <v>48</v>
      </c>
      <c r="F4" s="62"/>
      <c r="G4" s="65" t="s">
        <v>50</v>
      </c>
      <c r="H4" s="61"/>
      <c r="I4" s="66" t="s">
        <v>50</v>
      </c>
    </row>
    <row r="5" spans="1:9" ht="15">
      <c r="A5" s="124" t="s">
        <v>51</v>
      </c>
      <c r="B5" s="124"/>
      <c r="C5" s="67"/>
      <c r="D5" s="125"/>
      <c r="E5" s="67"/>
      <c r="F5" s="125"/>
      <c r="G5" s="67"/>
      <c r="H5" s="124"/>
      <c r="I5" s="91"/>
    </row>
    <row r="6" spans="1:9" ht="6.75" customHeight="1">
      <c r="A6" s="124"/>
      <c r="B6" s="124"/>
      <c r="C6" s="67"/>
      <c r="D6" s="125"/>
      <c r="E6" s="67"/>
      <c r="F6" s="125"/>
      <c r="G6" s="67"/>
      <c r="H6" s="124"/>
      <c r="I6" s="91"/>
    </row>
    <row r="7" spans="1:9" ht="15">
      <c r="A7" s="124" t="s">
        <v>83</v>
      </c>
      <c r="B7" s="124"/>
      <c r="C7" s="84">
        <v>11618196</v>
      </c>
      <c r="D7" s="84"/>
      <c r="E7" s="84">
        <v>11028277</v>
      </c>
      <c r="F7" s="125"/>
      <c r="G7" s="67">
        <f>E7-C7</f>
        <v>-589919</v>
      </c>
      <c r="H7" s="124"/>
      <c r="I7" s="91">
        <f>(E7-C7)/C7</f>
        <v>-0.05077543880306375</v>
      </c>
    </row>
    <row r="8" spans="1:9" ht="15">
      <c r="A8" s="124" t="s">
        <v>105</v>
      </c>
      <c r="B8" s="124"/>
      <c r="C8" s="94">
        <v>8341761</v>
      </c>
      <c r="D8" s="125"/>
      <c r="E8" s="94">
        <f>5487657+1160098+3137244</f>
        <v>9784999</v>
      </c>
      <c r="F8" s="125"/>
      <c r="G8" s="67">
        <f>E8-C8</f>
        <v>1443238</v>
      </c>
      <c r="H8" s="124"/>
      <c r="I8" s="91">
        <f>(E8-C8)/C8</f>
        <v>0.1730135878982867</v>
      </c>
    </row>
    <row r="9" spans="1:9" ht="15">
      <c r="A9" s="116" t="s">
        <v>117</v>
      </c>
      <c r="B9" s="124"/>
      <c r="C9" s="94">
        <v>0</v>
      </c>
      <c r="D9" s="125"/>
      <c r="E9" s="94">
        <v>15000</v>
      </c>
      <c r="F9" s="125"/>
      <c r="G9" s="67"/>
      <c r="H9" s="124"/>
      <c r="I9" s="91" t="e">
        <f>(E9-C9)/C9</f>
        <v>#DIV/0!</v>
      </c>
    </row>
    <row r="10" spans="1:9" ht="15">
      <c r="A10" s="124" t="s">
        <v>121</v>
      </c>
      <c r="B10" s="124"/>
      <c r="C10" s="94">
        <v>734751</v>
      </c>
      <c r="D10" s="125"/>
      <c r="E10" s="94">
        <f>735738</f>
        <v>735738</v>
      </c>
      <c r="F10" s="125"/>
      <c r="G10" s="72">
        <f>E10-C10</f>
        <v>987</v>
      </c>
      <c r="H10" s="124"/>
      <c r="I10" s="91">
        <f>(E10-C10)/C10</f>
        <v>0.0013433122241412398</v>
      </c>
    </row>
    <row r="11" spans="1:9" ht="15">
      <c r="A11" s="88" t="s">
        <v>132</v>
      </c>
      <c r="B11" s="124"/>
      <c r="C11" s="94">
        <v>928280</v>
      </c>
      <c r="D11" s="125"/>
      <c r="E11" s="94">
        <v>806869</v>
      </c>
      <c r="F11" s="125"/>
      <c r="G11" s="72"/>
      <c r="H11" s="124"/>
      <c r="I11" s="91">
        <f>(E11-C11)/C11</f>
        <v>-0.1307913560563623</v>
      </c>
    </row>
    <row r="12" spans="1:9" ht="4.5" customHeight="1">
      <c r="A12" s="124"/>
      <c r="B12" s="124"/>
      <c r="C12" s="94"/>
      <c r="D12" s="125"/>
      <c r="E12" s="94"/>
      <c r="F12" s="125"/>
      <c r="G12" s="72"/>
      <c r="H12" s="124"/>
      <c r="I12" s="91"/>
    </row>
    <row r="13" spans="1:9" ht="15">
      <c r="A13" s="124" t="s">
        <v>29</v>
      </c>
      <c r="B13" s="124"/>
      <c r="C13" s="87">
        <f>SUM(C7:C11)</f>
        <v>21622988</v>
      </c>
      <c r="D13" s="84"/>
      <c r="E13" s="87">
        <f>SUM(E7:E11)</f>
        <v>22370883</v>
      </c>
      <c r="F13" s="125"/>
      <c r="G13" s="70">
        <f>E13-C13</f>
        <v>747895</v>
      </c>
      <c r="H13" s="124"/>
      <c r="I13" s="95">
        <f>(E13-C13)/C13</f>
        <v>0.03458795796399647</v>
      </c>
    </row>
    <row r="14" spans="1:9" ht="15">
      <c r="A14" s="124"/>
      <c r="B14" s="124"/>
      <c r="C14" s="72"/>
      <c r="D14" s="125"/>
      <c r="E14" s="72"/>
      <c r="F14" s="125"/>
      <c r="G14" s="72"/>
      <c r="H14" s="124"/>
      <c r="I14" s="96"/>
    </row>
    <row r="15" spans="1:9" ht="15">
      <c r="A15" s="116" t="s">
        <v>30</v>
      </c>
      <c r="B15" s="124"/>
      <c r="C15" s="67">
        <v>1995233</v>
      </c>
      <c r="D15" s="125"/>
      <c r="E15" s="67">
        <v>716804</v>
      </c>
      <c r="F15" s="125"/>
      <c r="G15" s="67">
        <f>E15-C15</f>
        <v>-1278429</v>
      </c>
      <c r="H15" s="124"/>
      <c r="I15" s="91">
        <f>(E15-C15)/C15</f>
        <v>-0.640741707860686</v>
      </c>
    </row>
    <row r="16" spans="1:9" ht="9.75" customHeight="1">
      <c r="A16" s="116"/>
      <c r="B16" s="124"/>
      <c r="C16" s="67"/>
      <c r="D16" s="125"/>
      <c r="E16" s="67"/>
      <c r="F16" s="125"/>
      <c r="G16" s="67"/>
      <c r="H16" s="124"/>
      <c r="I16" s="91"/>
    </row>
    <row r="17" spans="1:9" s="128" customFormat="1" ht="18.75" thickBot="1">
      <c r="A17" s="128" t="s">
        <v>35</v>
      </c>
      <c r="C17" s="85">
        <f>SUM(C13:C15)</f>
        <v>23618221</v>
      </c>
      <c r="D17" s="86"/>
      <c r="E17" s="85">
        <f>SUM(E13:E15)</f>
        <v>23087687</v>
      </c>
      <c r="F17" s="129"/>
      <c r="G17" s="82">
        <f>E17-C17</f>
        <v>-530534</v>
      </c>
      <c r="I17" s="100">
        <f>(E17-C17)/C17</f>
        <v>-0.022462911156602355</v>
      </c>
    </row>
    <row r="18" spans="1:9" ht="15.75" thickTop="1">
      <c r="A18" s="124"/>
      <c r="B18" s="124"/>
      <c r="C18" s="67"/>
      <c r="D18" s="125"/>
      <c r="E18" s="67"/>
      <c r="F18" s="125"/>
      <c r="G18" s="67"/>
      <c r="H18" s="124"/>
      <c r="I18" s="91"/>
    </row>
    <row r="19" spans="1:9" ht="15" hidden="1">
      <c r="A19" s="124" t="s">
        <v>59</v>
      </c>
      <c r="B19" s="124"/>
      <c r="C19" s="67"/>
      <c r="D19" s="125"/>
      <c r="E19" s="67"/>
      <c r="F19" s="125"/>
      <c r="G19" s="67"/>
      <c r="H19" s="124"/>
      <c r="I19" s="91"/>
    </row>
    <row r="20" spans="1:9" ht="15" hidden="1">
      <c r="A20" s="124" t="s">
        <v>109</v>
      </c>
      <c r="B20" s="124"/>
      <c r="C20" s="94">
        <v>0</v>
      </c>
      <c r="D20" s="125"/>
      <c r="E20" s="94">
        <v>0</v>
      </c>
      <c r="F20" s="125"/>
      <c r="G20" s="67">
        <f aca="true" t="shared" si="0" ref="G20:G33">E20-C20</f>
        <v>0</v>
      </c>
      <c r="H20" s="124"/>
      <c r="I20" s="91">
        <v>0</v>
      </c>
    </row>
    <row r="21" spans="1:9" ht="15" hidden="1">
      <c r="A21" s="124" t="s">
        <v>91</v>
      </c>
      <c r="B21" s="124"/>
      <c r="C21" s="94">
        <v>2769262</v>
      </c>
      <c r="D21" s="125"/>
      <c r="E21" s="94">
        <v>2769262</v>
      </c>
      <c r="F21" s="125"/>
      <c r="G21" s="67">
        <f t="shared" si="0"/>
        <v>0</v>
      </c>
      <c r="H21" s="124"/>
      <c r="I21" s="91">
        <f aca="true" t="shared" si="1" ref="I21:I33">G21/C21</f>
        <v>0</v>
      </c>
    </row>
    <row r="22" spans="1:9" ht="15" hidden="1">
      <c r="A22" s="124" t="s">
        <v>92</v>
      </c>
      <c r="B22" s="124"/>
      <c r="C22" s="94">
        <v>1752820</v>
      </c>
      <c r="D22" s="125"/>
      <c r="E22" s="94">
        <v>1752820</v>
      </c>
      <c r="F22" s="125"/>
      <c r="G22" s="67">
        <f t="shared" si="0"/>
        <v>0</v>
      </c>
      <c r="H22" s="124"/>
      <c r="I22" s="91">
        <f t="shared" si="1"/>
        <v>0</v>
      </c>
    </row>
    <row r="23" spans="1:9" ht="15" hidden="1">
      <c r="A23" s="124" t="s">
        <v>93</v>
      </c>
      <c r="B23" s="124"/>
      <c r="C23" s="94">
        <v>1817800</v>
      </c>
      <c r="D23" s="125"/>
      <c r="E23" s="94">
        <v>1817800</v>
      </c>
      <c r="F23" s="125"/>
      <c r="G23" s="67">
        <f t="shared" si="0"/>
        <v>0</v>
      </c>
      <c r="H23" s="124"/>
      <c r="I23" s="91">
        <f t="shared" si="1"/>
        <v>0</v>
      </c>
    </row>
    <row r="24" spans="1:9" ht="15" hidden="1">
      <c r="A24" s="124" t="s">
        <v>94</v>
      </c>
      <c r="B24" s="124"/>
      <c r="C24" s="94">
        <v>922754</v>
      </c>
      <c r="D24" s="125"/>
      <c r="E24" s="94">
        <v>922754</v>
      </c>
      <c r="F24" s="125"/>
      <c r="G24" s="67">
        <f t="shared" si="0"/>
        <v>0</v>
      </c>
      <c r="H24" s="124"/>
      <c r="I24" s="91">
        <f t="shared" si="1"/>
        <v>0</v>
      </c>
    </row>
    <row r="25" spans="1:9" ht="15" hidden="1">
      <c r="A25" s="124" t="s">
        <v>95</v>
      </c>
      <c r="B25" s="124"/>
      <c r="C25" s="94">
        <v>1092305</v>
      </c>
      <c r="D25" s="125"/>
      <c r="E25" s="94">
        <v>1092305</v>
      </c>
      <c r="F25" s="125"/>
      <c r="G25" s="67">
        <f t="shared" si="0"/>
        <v>0</v>
      </c>
      <c r="H25" s="124"/>
      <c r="I25" s="91">
        <f t="shared" si="1"/>
        <v>0</v>
      </c>
    </row>
    <row r="26" spans="1:9" ht="15" hidden="1">
      <c r="A26" s="124" t="s">
        <v>103</v>
      </c>
      <c r="B26" s="124"/>
      <c r="C26" s="94">
        <v>519660</v>
      </c>
      <c r="D26" s="125"/>
      <c r="E26" s="94">
        <v>519660</v>
      </c>
      <c r="F26" s="125"/>
      <c r="G26" s="67">
        <f t="shared" si="0"/>
        <v>0</v>
      </c>
      <c r="H26" s="124"/>
      <c r="I26" s="91">
        <f t="shared" si="1"/>
        <v>0</v>
      </c>
    </row>
    <row r="27" spans="1:9" ht="15" hidden="1">
      <c r="A27" s="124" t="s">
        <v>96</v>
      </c>
      <c r="B27" s="124"/>
      <c r="C27" s="94">
        <v>164895</v>
      </c>
      <c r="D27" s="125"/>
      <c r="E27" s="94">
        <v>164895</v>
      </c>
      <c r="F27" s="125"/>
      <c r="G27" s="67">
        <f t="shared" si="0"/>
        <v>0</v>
      </c>
      <c r="H27" s="124"/>
      <c r="I27" s="91">
        <f t="shared" si="1"/>
        <v>0</v>
      </c>
    </row>
    <row r="28" spans="1:9" ht="15" hidden="1">
      <c r="A28" s="124" t="s">
        <v>97</v>
      </c>
      <c r="B28" s="124"/>
      <c r="C28" s="94">
        <v>301440</v>
      </c>
      <c r="D28" s="125"/>
      <c r="E28" s="94">
        <v>301440</v>
      </c>
      <c r="F28" s="125"/>
      <c r="G28" s="67">
        <f t="shared" si="0"/>
        <v>0</v>
      </c>
      <c r="H28" s="124"/>
      <c r="I28" s="91">
        <f t="shared" si="1"/>
        <v>0</v>
      </c>
    </row>
    <row r="29" spans="1:9" ht="15" hidden="1">
      <c r="A29" s="124" t="s">
        <v>98</v>
      </c>
      <c r="B29" s="124"/>
      <c r="C29" s="94">
        <v>597865</v>
      </c>
      <c r="D29" s="125"/>
      <c r="E29" s="94">
        <v>597865</v>
      </c>
      <c r="F29" s="125"/>
      <c r="G29" s="67">
        <f t="shared" si="0"/>
        <v>0</v>
      </c>
      <c r="H29" s="124"/>
      <c r="I29" s="91">
        <f t="shared" si="1"/>
        <v>0</v>
      </c>
    </row>
    <row r="30" spans="1:9" ht="15" hidden="1">
      <c r="A30" s="124" t="s">
        <v>122</v>
      </c>
      <c r="B30" s="124"/>
      <c r="C30" s="94">
        <v>152622</v>
      </c>
      <c r="D30" s="125"/>
      <c r="E30" s="94">
        <v>152622</v>
      </c>
      <c r="F30" s="125"/>
      <c r="G30" s="67">
        <f t="shared" si="0"/>
        <v>0</v>
      </c>
      <c r="H30" s="124"/>
      <c r="I30" s="91">
        <f t="shared" si="1"/>
        <v>0</v>
      </c>
    </row>
    <row r="31" spans="1:9" ht="15" hidden="1">
      <c r="A31" s="124" t="s">
        <v>99</v>
      </c>
      <c r="B31" s="124"/>
      <c r="C31" s="94">
        <v>1248994</v>
      </c>
      <c r="D31" s="125"/>
      <c r="E31" s="94">
        <v>1248994</v>
      </c>
      <c r="F31" s="125"/>
      <c r="G31" s="67">
        <f t="shared" si="0"/>
        <v>0</v>
      </c>
      <c r="H31" s="124"/>
      <c r="I31" s="91">
        <f t="shared" si="1"/>
        <v>0</v>
      </c>
    </row>
    <row r="32" spans="1:9" ht="15" hidden="1">
      <c r="A32" s="124" t="s">
        <v>100</v>
      </c>
      <c r="B32" s="124"/>
      <c r="C32" s="94">
        <v>8736633</v>
      </c>
      <c r="D32" s="125"/>
      <c r="E32" s="94">
        <v>8736633</v>
      </c>
      <c r="F32" s="125"/>
      <c r="G32" s="67">
        <f t="shared" si="0"/>
        <v>0</v>
      </c>
      <c r="H32" s="124"/>
      <c r="I32" s="91">
        <f t="shared" si="1"/>
        <v>0</v>
      </c>
    </row>
    <row r="33" spans="1:9" ht="15.75" hidden="1" thickBot="1">
      <c r="A33" s="124" t="s">
        <v>74</v>
      </c>
      <c r="B33" s="124"/>
      <c r="C33" s="74">
        <f>SUM(C20:C32)</f>
        <v>20077050</v>
      </c>
      <c r="D33" s="125"/>
      <c r="E33" s="74">
        <f>SUM(E20:E32)</f>
        <v>20077050</v>
      </c>
      <c r="F33" s="125"/>
      <c r="G33" s="74">
        <f t="shared" si="0"/>
        <v>0</v>
      </c>
      <c r="H33" s="124"/>
      <c r="I33" s="97">
        <f t="shared" si="1"/>
        <v>0</v>
      </c>
    </row>
    <row r="34" spans="1:9" ht="15">
      <c r="A34" s="124"/>
      <c r="B34" s="124"/>
      <c r="C34" s="67"/>
      <c r="D34" s="125"/>
      <c r="E34" s="67"/>
      <c r="F34" s="125"/>
      <c r="G34" s="67"/>
      <c r="H34" s="124"/>
      <c r="I34" s="91"/>
    </row>
    <row r="35" spans="1:9" ht="15">
      <c r="A35" s="60" t="s">
        <v>123</v>
      </c>
      <c r="B35" s="124"/>
      <c r="C35" s="67"/>
      <c r="D35" s="125"/>
      <c r="E35" s="67"/>
      <c r="F35" s="125"/>
      <c r="G35" s="67"/>
      <c r="H35" s="124"/>
      <c r="I35" s="91"/>
    </row>
    <row r="36" spans="1:9" ht="6.75" customHeight="1">
      <c r="A36" s="60"/>
      <c r="B36" s="124"/>
      <c r="C36" s="67"/>
      <c r="D36" s="125"/>
      <c r="E36" s="67"/>
      <c r="F36" s="125"/>
      <c r="G36" s="67"/>
      <c r="H36" s="124"/>
      <c r="I36" s="91"/>
    </row>
    <row r="37" spans="1:9" ht="15">
      <c r="A37" s="124" t="s">
        <v>111</v>
      </c>
      <c r="B37" s="124"/>
      <c r="C37" s="84">
        <v>12323432</v>
      </c>
      <c r="D37" s="84"/>
      <c r="E37" s="84">
        <v>12040385</v>
      </c>
      <c r="F37" s="125"/>
      <c r="G37" s="67">
        <f aca="true" t="shared" si="2" ref="G37:G47">E37-C37</f>
        <v>-283047</v>
      </c>
      <c r="H37" s="124"/>
      <c r="I37" s="91">
        <f>(E37-C37)/C37</f>
        <v>-0.022968195872708187</v>
      </c>
    </row>
    <row r="38" spans="1:9" ht="15">
      <c r="A38" s="124" t="s">
        <v>119</v>
      </c>
      <c r="B38" s="124"/>
      <c r="C38" s="78">
        <v>372548</v>
      </c>
      <c r="D38" s="125"/>
      <c r="E38" s="78">
        <v>418352</v>
      </c>
      <c r="F38" s="125"/>
      <c r="G38" s="67">
        <f t="shared" si="2"/>
        <v>45804</v>
      </c>
      <c r="H38" s="124"/>
      <c r="I38" s="91">
        <f aca="true" t="shared" si="3" ref="I38:I45">(E38-C38)/C38</f>
        <v>0.12294791543640014</v>
      </c>
    </row>
    <row r="39" spans="1:9" ht="15">
      <c r="A39" s="124" t="s">
        <v>120</v>
      </c>
      <c r="B39" s="124"/>
      <c r="C39" s="78">
        <v>145907</v>
      </c>
      <c r="D39" s="125"/>
      <c r="E39" s="78">
        <v>120687</v>
      </c>
      <c r="F39" s="125"/>
      <c r="G39" s="67">
        <f t="shared" si="2"/>
        <v>-25220</v>
      </c>
      <c r="H39" s="124"/>
      <c r="I39" s="91">
        <f t="shared" si="3"/>
        <v>-0.1728498290006648</v>
      </c>
    </row>
    <row r="40" spans="1:9" ht="15">
      <c r="A40" s="124" t="s">
        <v>112</v>
      </c>
      <c r="B40" s="124"/>
      <c r="C40" s="78">
        <v>1379180</v>
      </c>
      <c r="D40" s="125"/>
      <c r="E40" s="78">
        <v>1285487</v>
      </c>
      <c r="F40" s="125"/>
      <c r="G40" s="67">
        <f t="shared" si="2"/>
        <v>-93693</v>
      </c>
      <c r="H40" s="124"/>
      <c r="I40" s="91">
        <f t="shared" si="3"/>
        <v>-0.06793384474832871</v>
      </c>
    </row>
    <row r="41" spans="1:9" ht="15">
      <c r="A41" s="124" t="s">
        <v>113</v>
      </c>
      <c r="B41" s="124"/>
      <c r="C41" s="78">
        <f>2260378-C40</f>
        <v>881198</v>
      </c>
      <c r="D41" s="125"/>
      <c r="E41" s="78">
        <f>2180991-E40</f>
        <v>895504</v>
      </c>
      <c r="F41" s="125"/>
      <c r="G41" s="67">
        <f t="shared" si="2"/>
        <v>14306</v>
      </c>
      <c r="H41" s="124"/>
      <c r="I41" s="91">
        <f t="shared" si="3"/>
        <v>0.016234716828680953</v>
      </c>
    </row>
    <row r="42" spans="1:9" ht="15">
      <c r="A42" s="124" t="s">
        <v>114</v>
      </c>
      <c r="B42" s="124"/>
      <c r="C42" s="78">
        <v>2034159</v>
      </c>
      <c r="D42" s="125"/>
      <c r="E42" s="78">
        <v>1986473</v>
      </c>
      <c r="F42" s="125"/>
      <c r="G42" s="67">
        <f t="shared" si="2"/>
        <v>-47686</v>
      </c>
      <c r="H42" s="124"/>
      <c r="I42" s="91">
        <f t="shared" si="3"/>
        <v>-0.023442611909885117</v>
      </c>
    </row>
    <row r="43" spans="1:9" ht="15">
      <c r="A43" s="124" t="s">
        <v>115</v>
      </c>
      <c r="B43" s="124"/>
      <c r="C43" s="78">
        <v>2745710</v>
      </c>
      <c r="D43" s="125"/>
      <c r="E43" s="78">
        <v>2684191</v>
      </c>
      <c r="F43" s="125"/>
      <c r="G43" s="67">
        <f t="shared" si="2"/>
        <v>-61519</v>
      </c>
      <c r="H43" s="124"/>
      <c r="I43" s="91">
        <f t="shared" si="3"/>
        <v>-0.022405498031474555</v>
      </c>
    </row>
    <row r="44" spans="1:9" ht="15">
      <c r="A44" s="124" t="s">
        <v>116</v>
      </c>
      <c r="B44" s="124"/>
      <c r="C44" s="79">
        <v>3486087</v>
      </c>
      <c r="D44" s="125"/>
      <c r="E44" s="79">
        <v>3331608</v>
      </c>
      <c r="F44" s="125"/>
      <c r="G44" s="67">
        <f t="shared" si="2"/>
        <v>-154479</v>
      </c>
      <c r="H44" s="124"/>
      <c r="I44" s="91">
        <f t="shared" si="3"/>
        <v>-0.04431300767881008</v>
      </c>
    </row>
    <row r="45" spans="1:9" ht="15">
      <c r="A45" s="124" t="s">
        <v>110</v>
      </c>
      <c r="B45" s="124"/>
      <c r="C45" s="79">
        <v>250000</v>
      </c>
      <c r="D45" s="125"/>
      <c r="E45" s="79">
        <v>325000</v>
      </c>
      <c r="F45" s="125"/>
      <c r="G45" s="67">
        <f t="shared" si="2"/>
        <v>75000</v>
      </c>
      <c r="H45" s="124"/>
      <c r="I45" s="91">
        <f t="shared" si="3"/>
        <v>0.3</v>
      </c>
    </row>
    <row r="46" spans="1:9" ht="8.25" customHeight="1">
      <c r="A46" s="124"/>
      <c r="B46" s="124"/>
      <c r="C46" s="79"/>
      <c r="D46" s="125"/>
      <c r="E46" s="79"/>
      <c r="F46" s="125"/>
      <c r="G46" s="67"/>
      <c r="H46" s="124"/>
      <c r="I46" s="96"/>
    </row>
    <row r="47" spans="1:9" s="128" customFormat="1" ht="18.75" thickBot="1">
      <c r="A47" s="112" t="s">
        <v>46</v>
      </c>
      <c r="C47" s="85">
        <f>SUM(C37:C45)</f>
        <v>23618221</v>
      </c>
      <c r="D47" s="86"/>
      <c r="E47" s="85">
        <f>SUM(E37:E45)</f>
        <v>23087687</v>
      </c>
      <c r="F47" s="129"/>
      <c r="G47" s="82">
        <f t="shared" si="2"/>
        <v>-530534</v>
      </c>
      <c r="I47" s="100">
        <f>(E47-C47)/C47</f>
        <v>-0.022462911156602355</v>
      </c>
    </row>
    <row r="48" spans="1:9" ht="15.75" thickTop="1">
      <c r="A48" s="124"/>
      <c r="B48" s="124"/>
      <c r="C48" s="67"/>
      <c r="D48" s="125"/>
      <c r="E48" s="67"/>
      <c r="F48" s="125"/>
      <c r="G48" s="67"/>
      <c r="H48" s="124"/>
      <c r="I48" s="91"/>
    </row>
    <row r="49" spans="1:9" ht="15">
      <c r="A49" s="124"/>
      <c r="B49" s="124"/>
      <c r="C49" s="67"/>
      <c r="D49" s="125"/>
      <c r="E49" s="67"/>
      <c r="F49" s="125"/>
      <c r="G49" s="67"/>
      <c r="H49" s="124"/>
      <c r="I49" s="91"/>
    </row>
  </sheetData>
  <sheetProtection/>
  <printOptions horizontalCentered="1"/>
  <pageMargins left="1" right="1" top="1" bottom="1" header="0.5" footer="0.5"/>
  <pageSetup fitToHeight="1" fitToWidth="1" horizontalDpi="300" verticalDpi="300" orientation="landscape" scale="84" r:id="rId1"/>
  <headerFooter alignWithMargins="0">
    <oddHeader>&amp;C
&amp;"Arial,Bold"&amp;18OSU - TULSA
SUMMARY OF REVENUE &amp;&amp; EXPENDITURES
Education &amp;&amp;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Murphy</dc:creator>
  <cp:keywords/>
  <dc:description/>
  <cp:lastModifiedBy>ashleal</cp:lastModifiedBy>
  <cp:lastPrinted>2010-06-07T19:51:34Z</cp:lastPrinted>
  <dcterms:created xsi:type="dcterms:W3CDTF">2005-06-08T16:32:16Z</dcterms:created>
  <dcterms:modified xsi:type="dcterms:W3CDTF">2010-06-28T15:30:02Z</dcterms:modified>
  <cp:category/>
  <cp:version/>
  <cp:contentType/>
  <cp:contentStatus/>
</cp:coreProperties>
</file>