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35" yWindow="105" windowWidth="7680" windowHeight="8985" activeTab="4"/>
  </bookViews>
  <sheets>
    <sheet name="Sponsored Programs" sheetId="1" r:id="rId1"/>
    <sheet name="Research" sheetId="2" r:id="rId2"/>
    <sheet name="Instruction" sheetId="3" r:id="rId3"/>
    <sheet name="Extension" sheetId="4" r:id="rId4"/>
    <sheet name="Supplemental Info" sheetId="5" r:id="rId5"/>
    <sheet name="Sheet1" sheetId="6" r:id="rId6"/>
    <sheet name="Sheet2" sheetId="7" r:id="rId7"/>
  </sheets>
  <definedNames>
    <definedName name="_xlnm.Print_Area" localSheetId="3">'Extension'!$A$1:$O$62</definedName>
    <definedName name="_xlnm.Print_Area" localSheetId="2">'Instruction'!$A$1:$O$64</definedName>
    <definedName name="_xlnm.Print_Area" localSheetId="1">'Research'!$A$1:$P$63</definedName>
    <definedName name="_xlnm.Print_Area" localSheetId="0">'Sponsored Programs'!$A$1:$O$66</definedName>
  </definedNames>
  <calcPr fullCalcOnLoad="1"/>
</workbook>
</file>

<file path=xl/sharedStrings.xml><?xml version="1.0" encoding="utf-8"?>
<sst xmlns="http://schemas.openxmlformats.org/spreadsheetml/2006/main" count="505" uniqueCount="97">
  <si>
    <t>Sponsored Program Fund Sources and Expenditures by Agency  (Based on Accrual)</t>
  </si>
  <si>
    <t>Human</t>
  </si>
  <si>
    <t>General</t>
  </si>
  <si>
    <t>Arts &amp;</t>
  </si>
  <si>
    <t>Environ.</t>
  </si>
  <si>
    <t>Veterinary</t>
  </si>
  <si>
    <t>Oklahoma</t>
  </si>
  <si>
    <t>Total</t>
  </si>
  <si>
    <t>University</t>
  </si>
  <si>
    <t>Agriculture</t>
  </si>
  <si>
    <t>Sciences</t>
  </si>
  <si>
    <t>Business</t>
  </si>
  <si>
    <t>Education</t>
  </si>
  <si>
    <t>Engineering</t>
  </si>
  <si>
    <t>Okmulgee</t>
  </si>
  <si>
    <t>Medicine</t>
  </si>
  <si>
    <t>City</t>
  </si>
  <si>
    <t>State</t>
  </si>
  <si>
    <t>(General Support)</t>
  </si>
  <si>
    <t>Ledger 1</t>
  </si>
  <si>
    <t>Direct Cost C/S</t>
  </si>
  <si>
    <t>Station Sales</t>
  </si>
  <si>
    <t>Restricted Fund-OSU</t>
  </si>
  <si>
    <t>Federal Sponsors</t>
  </si>
  <si>
    <t>State Sponsors</t>
  </si>
  <si>
    <t>Private Sponsors</t>
  </si>
  <si>
    <t>Tulsa</t>
  </si>
  <si>
    <t>Fed Appropriations</t>
  </si>
  <si>
    <t>Extension Fund Sources and Expenditures by Agency  (Based on Accrual)</t>
  </si>
  <si>
    <t>Center</t>
  </si>
  <si>
    <t>for Health</t>
  </si>
  <si>
    <t>Station Sale</t>
  </si>
  <si>
    <t>Instruction Fund Sources and Expenditures by Agency  (Based on Accrual)</t>
  </si>
  <si>
    <t>Research Fund Sources and Expenditures by Agency  (Based on Accrual)</t>
  </si>
  <si>
    <t xml:space="preserve"> </t>
  </si>
  <si>
    <t>Voluntary Waived F&amp;A</t>
  </si>
  <si>
    <t>Mandatory Waived F&amp;A</t>
  </si>
  <si>
    <t>Unfunded F&amp;A on C/S</t>
  </si>
  <si>
    <t>Recovered F&amp;A Restricted</t>
  </si>
  <si>
    <t>Part 1 A</t>
  </si>
  <si>
    <t>Part 1 B</t>
  </si>
  <si>
    <t>Part 1 B Continued</t>
  </si>
  <si>
    <t>Page 1</t>
  </si>
  <si>
    <t>Page 2</t>
  </si>
  <si>
    <t>Page 3</t>
  </si>
  <si>
    <t>Page 4</t>
  </si>
  <si>
    <t>Restricted Fund-CIED</t>
  </si>
  <si>
    <t>Restricted-CIED</t>
  </si>
  <si>
    <t xml:space="preserve">Total  </t>
  </si>
  <si>
    <t xml:space="preserve">Reconciliation </t>
  </si>
  <si>
    <t>Research</t>
  </si>
  <si>
    <t>Financial</t>
  </si>
  <si>
    <t>Report</t>
  </si>
  <si>
    <t>Statements</t>
  </si>
  <si>
    <t>Unrestricted</t>
  </si>
  <si>
    <t>Restricted</t>
  </si>
  <si>
    <t>Total per Financial Statements</t>
  </si>
  <si>
    <t>Direct C/S - Instruction</t>
  </si>
  <si>
    <t>EREDF Academic Support</t>
  </si>
  <si>
    <t>Debt Service (SC 9600)</t>
  </si>
  <si>
    <t>Working Fund Adjustment</t>
  </si>
  <si>
    <t>Total per Report</t>
  </si>
  <si>
    <t>Reconciliation</t>
  </si>
  <si>
    <t>Unrestricted Research</t>
  </si>
  <si>
    <t>Restricted Research</t>
  </si>
  <si>
    <t>Sub-total</t>
  </si>
  <si>
    <t>EREDF Academic Spt - NASA Rpt</t>
  </si>
  <si>
    <t>Restricted Instruction</t>
  </si>
  <si>
    <t>Direct C/S</t>
  </si>
  <si>
    <t>Unrestricted Extension</t>
  </si>
  <si>
    <t>Restricted Extension</t>
  </si>
  <si>
    <t>Miscellaneous Adjustment</t>
  </si>
  <si>
    <t>FY 2013</t>
  </si>
  <si>
    <t>Effective F&amp;A Rate</t>
  </si>
  <si>
    <t>2014 Research Report Oklahoma State University</t>
  </si>
  <si>
    <t>FY 2014</t>
  </si>
  <si>
    <t>Debt Service (SC 9600/9620)</t>
  </si>
  <si>
    <t>AB45 Accts on C/S - not Ldgr 1 List</t>
  </si>
  <si>
    <t>Page 5</t>
  </si>
  <si>
    <t>Part 2 A</t>
  </si>
  <si>
    <t>FY2013</t>
  </si>
  <si>
    <t>Plant Funds</t>
  </si>
  <si>
    <t>OSU Foundation</t>
  </si>
  <si>
    <t>In-kind Contributions</t>
  </si>
  <si>
    <t>Research on UML F/S</t>
  </si>
  <si>
    <t>Page 6</t>
  </si>
  <si>
    <t>Research Fund Sources and Expenditures by Agency (Based on Accrual)</t>
  </si>
  <si>
    <t>Part 2 B</t>
  </si>
  <si>
    <t>Page 7</t>
  </si>
  <si>
    <t>Part 2 B Continued</t>
  </si>
  <si>
    <t>Page 8</t>
  </si>
  <si>
    <t>Page 9</t>
  </si>
  <si>
    <t>Summary</t>
  </si>
  <si>
    <t>Part 1</t>
  </si>
  <si>
    <t>Part 2 *</t>
  </si>
  <si>
    <t>2013 Research Report Oklahoma State University - For Comparison</t>
  </si>
  <si>
    <t>FY2014</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</si>
</sst>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
    <numFmt numFmtId="166" formatCode="&quot;$&quot;#,##0.00"/>
    <numFmt numFmtId="167" formatCode="&quot;$&quot;#,##0"/>
    <numFmt numFmtId="168" formatCode="&quot;Yes&quot;;&quot;Yes&quot;;&quot;No&quot;"/>
    <numFmt numFmtId="169" formatCode="&quot;True&quot;;&quot;True&quot;;&quot;False&quot;"/>
    <numFmt numFmtId="170" formatCode="&quot;On&quot;;&quot;On&quot;;&quot;Off&quot;"/>
    <numFmt numFmtId="171" formatCode="[$€-2]\ #,##0.00_);[Red]\([$€-2]\ #,##0.00\)"/>
  </numFmts>
  <fonts count="42">
    <font>
      <sz val="10"/>
      <name val="Arial"/>
      <family val="0"/>
    </font>
    <font>
      <b/>
      <sz val="10"/>
      <name val="Arial"/>
      <family val="0"/>
    </font>
    <font>
      <i/>
      <sz val="10"/>
      <name val="Arial"/>
      <family val="0"/>
    </font>
    <font>
      <b/>
      <i/>
      <sz val="10"/>
      <name val="Arial"/>
      <family val="0"/>
    </font>
    <font>
      <sz val="8"/>
      <name val="Arial"/>
      <family val="2"/>
    </font>
    <font>
      <b/>
      <sz val="8"/>
      <name val="Arial"/>
      <family val="2"/>
    </font>
    <font>
      <b/>
      <i/>
      <u val="single"/>
      <sz val="8"/>
      <name val="Arial"/>
      <family val="2"/>
    </font>
    <font>
      <u val="single"/>
      <sz val="10"/>
      <color indexed="12"/>
      <name val="Arial"/>
      <family val="2"/>
    </font>
    <font>
      <u val="single"/>
      <sz val="10"/>
      <color indexed="36"/>
      <name val="Arial"/>
      <family val="2"/>
    </font>
    <font>
      <sz val="10"/>
      <color indexed="8"/>
      <name val="Arial"/>
      <family val="2"/>
    </font>
    <font>
      <sz val="10"/>
      <color indexed="9"/>
      <name val="Arial"/>
      <family val="2"/>
    </font>
    <font>
      <sz val="10"/>
      <color indexed="20"/>
      <name val="Arial"/>
      <family val="2"/>
    </font>
    <font>
      <b/>
      <sz val="10"/>
      <color indexed="10"/>
      <name val="Arial"/>
      <family val="2"/>
    </font>
    <font>
      <b/>
      <sz val="10"/>
      <color indexed="9"/>
      <name val="Arial"/>
      <family val="2"/>
    </font>
    <font>
      <i/>
      <sz val="10"/>
      <color indexed="23"/>
      <name val="Arial"/>
      <family val="2"/>
    </font>
    <font>
      <sz val="10"/>
      <color indexed="17"/>
      <name val="Arial"/>
      <family val="2"/>
    </font>
    <font>
      <b/>
      <sz val="15"/>
      <color indexed="62"/>
      <name val="Arial"/>
      <family val="2"/>
    </font>
    <font>
      <b/>
      <sz val="13"/>
      <color indexed="62"/>
      <name val="Arial"/>
      <family val="2"/>
    </font>
    <font>
      <b/>
      <sz val="11"/>
      <color indexed="62"/>
      <name val="Arial"/>
      <family val="2"/>
    </font>
    <font>
      <sz val="10"/>
      <color indexed="62"/>
      <name val="Arial"/>
      <family val="2"/>
    </font>
    <font>
      <sz val="10"/>
      <color indexed="10"/>
      <name val="Arial"/>
      <family val="2"/>
    </font>
    <font>
      <sz val="10"/>
      <color indexed="19"/>
      <name val="Arial"/>
      <family val="2"/>
    </font>
    <font>
      <b/>
      <sz val="10"/>
      <color indexed="63"/>
      <name val="Arial"/>
      <family val="2"/>
    </font>
    <font>
      <b/>
      <sz val="18"/>
      <color indexed="62"/>
      <name val="Cambria"/>
      <family val="2"/>
    </font>
    <font>
      <b/>
      <sz val="10"/>
      <color indexed="8"/>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color indexed="63"/>
      </top>
      <bottom style="double"/>
    </border>
    <border>
      <left>
        <color indexed="63"/>
      </left>
      <right>
        <color indexed="63"/>
      </right>
      <top style="thin"/>
      <bottom style="double"/>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8"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7"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0" borderId="0">
      <alignment/>
      <protection/>
    </xf>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58">
    <xf numFmtId="0" fontId="0" fillId="0" borderId="0" xfId="0" applyAlignment="1">
      <alignment/>
    </xf>
    <xf numFmtId="3" fontId="5" fillId="0" borderId="0" xfId="0" applyNumberFormat="1" applyFont="1" applyAlignment="1">
      <alignment/>
    </xf>
    <xf numFmtId="3" fontId="4" fillId="0" borderId="0" xfId="0" applyNumberFormat="1" applyFont="1" applyAlignment="1">
      <alignment/>
    </xf>
    <xf numFmtId="3" fontId="5" fillId="33" borderId="0" xfId="0" applyNumberFormat="1" applyFont="1" applyFill="1" applyAlignment="1">
      <alignment horizontal="center"/>
    </xf>
    <xf numFmtId="3" fontId="5" fillId="33" borderId="10" xfId="0" applyNumberFormat="1" applyFont="1" applyFill="1" applyBorder="1" applyAlignment="1">
      <alignment horizontal="center"/>
    </xf>
    <xf numFmtId="3" fontId="5" fillId="0" borderId="0" xfId="0" applyNumberFormat="1" applyFont="1" applyFill="1" applyAlignment="1">
      <alignment/>
    </xf>
    <xf numFmtId="3" fontId="5" fillId="0" borderId="0" xfId="0" applyNumberFormat="1" applyFont="1" applyFill="1" applyBorder="1" applyAlignment="1">
      <alignment horizontal="center"/>
    </xf>
    <xf numFmtId="3" fontId="4" fillId="0" borderId="0" xfId="0" applyNumberFormat="1" applyFont="1" applyFill="1" applyAlignment="1">
      <alignment/>
    </xf>
    <xf numFmtId="3" fontId="5" fillId="0" borderId="0" xfId="0" applyNumberFormat="1" applyFont="1" applyAlignment="1">
      <alignment/>
    </xf>
    <xf numFmtId="3" fontId="4" fillId="0" borderId="10" xfId="0" applyNumberFormat="1" applyFont="1" applyBorder="1" applyAlignment="1">
      <alignment/>
    </xf>
    <xf numFmtId="3" fontId="4" fillId="0" borderId="11" xfId="0" applyNumberFormat="1" applyFont="1" applyBorder="1" applyAlignment="1">
      <alignment/>
    </xf>
    <xf numFmtId="3" fontId="4" fillId="0" borderId="0" xfId="0" applyNumberFormat="1" applyFont="1" applyAlignment="1">
      <alignment horizontal="right"/>
    </xf>
    <xf numFmtId="3" fontId="4" fillId="0" borderId="0" xfId="0" applyNumberFormat="1" applyFont="1" applyBorder="1" applyAlignment="1">
      <alignment/>
    </xf>
    <xf numFmtId="3" fontId="6" fillId="0" borderId="0" xfId="0" applyNumberFormat="1" applyFont="1" applyAlignment="1">
      <alignment/>
    </xf>
    <xf numFmtId="3" fontId="5" fillId="0" borderId="0" xfId="0" applyNumberFormat="1" applyFont="1" applyAlignment="1">
      <alignment/>
    </xf>
    <xf numFmtId="3" fontId="4" fillId="0" borderId="0" xfId="0" applyNumberFormat="1" applyFont="1" applyAlignment="1">
      <alignment/>
    </xf>
    <xf numFmtId="3" fontId="5" fillId="34" borderId="0" xfId="0" applyNumberFormat="1" applyFont="1" applyFill="1" applyAlignment="1">
      <alignment horizontal="center"/>
    </xf>
    <xf numFmtId="3" fontId="5" fillId="34" borderId="10" xfId="0" applyNumberFormat="1" applyFont="1" applyFill="1" applyBorder="1" applyAlignment="1">
      <alignment horizontal="center"/>
    </xf>
    <xf numFmtId="3" fontId="5" fillId="0" borderId="0" xfId="0" applyNumberFormat="1" applyFont="1" applyFill="1" applyBorder="1" applyAlignment="1">
      <alignment horizontal="center"/>
    </xf>
    <xf numFmtId="3" fontId="4" fillId="0" borderId="0" xfId="0" applyNumberFormat="1" applyFont="1" applyFill="1" applyAlignment="1">
      <alignment/>
    </xf>
    <xf numFmtId="38" fontId="4" fillId="0" borderId="0" xfId="0" applyNumberFormat="1" applyFont="1" applyAlignment="1">
      <alignment/>
    </xf>
    <xf numFmtId="3" fontId="4" fillId="0" borderId="10" xfId="0" applyNumberFormat="1" applyFont="1" applyBorder="1" applyAlignment="1">
      <alignment/>
    </xf>
    <xf numFmtId="3" fontId="4" fillId="0" borderId="11" xfId="0" applyNumberFormat="1" applyFont="1" applyBorder="1" applyAlignment="1">
      <alignment/>
    </xf>
    <xf numFmtId="3" fontId="4" fillId="0" borderId="0" xfId="0" applyNumberFormat="1" applyFont="1" applyBorder="1" applyAlignment="1">
      <alignment/>
    </xf>
    <xf numFmtId="3" fontId="4" fillId="0" borderId="0" xfId="0" applyNumberFormat="1" applyFont="1" applyAlignment="1">
      <alignment horizontal="center"/>
    </xf>
    <xf numFmtId="3" fontId="4" fillId="0" borderId="0" xfId="0" applyNumberFormat="1" applyFont="1" applyAlignment="1" quotePrefix="1">
      <alignment/>
    </xf>
    <xf numFmtId="3" fontId="5" fillId="0" borderId="10" xfId="0" applyNumberFormat="1" applyFont="1" applyFill="1" applyBorder="1" applyAlignment="1">
      <alignment horizontal="center"/>
    </xf>
    <xf numFmtId="3" fontId="4" fillId="0" borderId="0" xfId="0" applyNumberFormat="1" applyFont="1" applyFill="1" applyBorder="1" applyAlignment="1">
      <alignment/>
    </xf>
    <xf numFmtId="3" fontId="5" fillId="0" borderId="0" xfId="0" applyNumberFormat="1" applyFont="1" applyAlignment="1">
      <alignment horizontal="center"/>
    </xf>
    <xf numFmtId="3" fontId="5" fillId="0" borderId="0" xfId="0" applyNumberFormat="1" applyFont="1" applyFill="1" applyAlignment="1">
      <alignment horizontal="center"/>
    </xf>
    <xf numFmtId="3" fontId="4" fillId="0" borderId="0" xfId="0" applyNumberFormat="1" applyFont="1" applyFill="1" applyBorder="1" applyAlignment="1">
      <alignment/>
    </xf>
    <xf numFmtId="3" fontId="5" fillId="34" borderId="0" xfId="0" applyNumberFormat="1" applyFont="1" applyFill="1" applyBorder="1" applyAlignment="1">
      <alignment horizontal="center"/>
    </xf>
    <xf numFmtId="3" fontId="5" fillId="33" borderId="0" xfId="0" applyNumberFormat="1" applyFont="1" applyFill="1" applyBorder="1" applyAlignment="1">
      <alignment horizontal="center"/>
    </xf>
    <xf numFmtId="3" fontId="5" fillId="0" borderId="0" xfId="0" applyNumberFormat="1" applyFont="1" applyAlignment="1">
      <alignment horizontal="right"/>
    </xf>
    <xf numFmtId="3" fontId="5" fillId="33" borderId="0" xfId="0" applyNumberFormat="1" applyFont="1" applyFill="1" applyAlignment="1">
      <alignment horizontal="center"/>
    </xf>
    <xf numFmtId="3" fontId="5" fillId="33" borderId="0" xfId="0" applyNumberFormat="1" applyFont="1" applyFill="1" applyBorder="1" applyAlignment="1">
      <alignment horizontal="center"/>
    </xf>
    <xf numFmtId="3" fontId="4" fillId="0" borderId="10" xfId="0" applyNumberFormat="1" applyFont="1" applyFill="1" applyBorder="1" applyAlignment="1">
      <alignment/>
    </xf>
    <xf numFmtId="3" fontId="4" fillId="0" borderId="11" xfId="0" applyNumberFormat="1" applyFont="1" applyFill="1" applyBorder="1" applyAlignment="1">
      <alignment/>
    </xf>
    <xf numFmtId="3" fontId="5" fillId="34" borderId="0" xfId="0" applyNumberFormat="1" applyFont="1" applyFill="1" applyAlignment="1">
      <alignment horizontal="center"/>
    </xf>
    <xf numFmtId="10" fontId="5" fillId="0" borderId="0" xfId="0" applyNumberFormat="1" applyFont="1" applyAlignment="1">
      <alignment/>
    </xf>
    <xf numFmtId="10" fontId="4" fillId="0" borderId="0" xfId="0" applyNumberFormat="1" applyFont="1" applyAlignment="1">
      <alignment/>
    </xf>
    <xf numFmtId="10" fontId="5" fillId="0" borderId="0" xfId="0" applyNumberFormat="1" applyFont="1" applyAlignment="1">
      <alignment horizontal="center"/>
    </xf>
    <xf numFmtId="10" fontId="4" fillId="0" borderId="0" xfId="0" applyNumberFormat="1" applyFont="1" applyAlignment="1">
      <alignment/>
    </xf>
    <xf numFmtId="3" fontId="5" fillId="0" borderId="0" xfId="57" applyNumberFormat="1" applyFont="1">
      <alignment/>
      <protection/>
    </xf>
    <xf numFmtId="3" fontId="4" fillId="0" borderId="0" xfId="57" applyNumberFormat="1" applyFont="1">
      <alignment/>
      <protection/>
    </xf>
    <xf numFmtId="3" fontId="6" fillId="0" borderId="0" xfId="57" applyNumberFormat="1" applyFont="1">
      <alignment/>
      <protection/>
    </xf>
    <xf numFmtId="3" fontId="5" fillId="0" borderId="0" xfId="57" applyNumberFormat="1" applyFont="1" applyAlignment="1">
      <alignment horizontal="right"/>
      <protection/>
    </xf>
    <xf numFmtId="3" fontId="5" fillId="0" borderId="0" xfId="57" applyNumberFormat="1" applyFont="1" applyAlignment="1">
      <alignment horizontal="center"/>
      <protection/>
    </xf>
    <xf numFmtId="3" fontId="4" fillId="0" borderId="0" xfId="57" applyNumberFormat="1" applyFont="1" applyBorder="1">
      <alignment/>
      <protection/>
    </xf>
    <xf numFmtId="3" fontId="5" fillId="33" borderId="0" xfId="57" applyNumberFormat="1" applyFont="1" applyFill="1" applyAlignment="1">
      <alignment horizontal="center"/>
      <protection/>
    </xf>
    <xf numFmtId="3" fontId="5" fillId="0" borderId="0" xfId="57" applyNumberFormat="1" applyFont="1" applyFill="1" applyBorder="1" applyAlignment="1">
      <alignment horizontal="center"/>
      <protection/>
    </xf>
    <xf numFmtId="3" fontId="5" fillId="33" borderId="10" xfId="57" applyNumberFormat="1" applyFont="1" applyFill="1" applyBorder="1" applyAlignment="1">
      <alignment horizontal="center"/>
      <protection/>
    </xf>
    <xf numFmtId="3" fontId="5" fillId="0" borderId="10" xfId="57" applyNumberFormat="1" applyFont="1" applyFill="1" applyBorder="1" applyAlignment="1">
      <alignment horizontal="center"/>
      <protection/>
    </xf>
    <xf numFmtId="3" fontId="4" fillId="0" borderId="0" xfId="57" applyNumberFormat="1" applyFont="1" applyFill="1">
      <alignment/>
      <protection/>
    </xf>
    <xf numFmtId="3" fontId="5" fillId="0" borderId="0" xfId="57" applyNumberFormat="1" applyFont="1" applyFill="1" applyAlignment="1">
      <alignment horizontal="center"/>
      <protection/>
    </xf>
    <xf numFmtId="3" fontId="4" fillId="0" borderId="10" xfId="57" applyNumberFormat="1" applyFont="1" applyBorder="1">
      <alignment/>
      <protection/>
    </xf>
    <xf numFmtId="3" fontId="4" fillId="0" borderId="11" xfId="57" applyNumberFormat="1" applyFont="1" applyBorder="1">
      <alignment/>
      <protection/>
    </xf>
    <xf numFmtId="3" fontId="4" fillId="0" borderId="12" xfId="57" applyNumberFormat="1" applyFont="1" applyBorder="1">
      <alignment/>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outlinePr summaryBelow="0"/>
    <pageSetUpPr fitToPage="1"/>
  </sheetPr>
  <dimension ref="A1:P70"/>
  <sheetViews>
    <sheetView zoomScalePageLayoutView="0" workbookViewId="0" topLeftCell="A1">
      <pane xSplit="1" ySplit="6" topLeftCell="B7" activePane="bottomRight" state="frozen"/>
      <selection pane="topLeft" activeCell="O2" sqref="O2"/>
      <selection pane="topRight" activeCell="O2" sqref="O2"/>
      <selection pane="bottomLeft" activeCell="O2" sqref="O2"/>
      <selection pane="bottomRight" activeCell="N68" sqref="N68"/>
    </sheetView>
  </sheetViews>
  <sheetFormatPr defaultColWidth="9.140625" defaultRowHeight="12.75" outlineLevelRow="1"/>
  <cols>
    <col min="1" max="1" width="19.00390625" style="2" customWidth="1"/>
    <col min="2" max="2" width="10.57421875" style="2" customWidth="1"/>
    <col min="3" max="3" width="9.8515625" style="2" bestFit="1" customWidth="1"/>
    <col min="4" max="4" width="10.57421875" style="2" customWidth="1"/>
    <col min="5" max="5" width="10.28125" style="2" customWidth="1"/>
    <col min="6" max="6" width="9.7109375" style="2" customWidth="1"/>
    <col min="7" max="7" width="10.57421875" style="2" customWidth="1"/>
    <col min="8" max="8" width="11.140625" style="2" customWidth="1"/>
    <col min="9" max="11" width="10.140625" style="2" customWidth="1"/>
    <col min="12" max="13" width="9.7109375" style="2" customWidth="1"/>
    <col min="14" max="14" width="10.00390625" style="2" bestFit="1" customWidth="1"/>
    <col min="15" max="15" width="9.57421875" style="2" bestFit="1" customWidth="1"/>
    <col min="16" max="16" width="9.57421875" style="28" bestFit="1" customWidth="1"/>
    <col min="17" max="16384" width="9.140625" style="2" customWidth="1"/>
  </cols>
  <sheetData>
    <row r="1" spans="1:16" ht="11.25">
      <c r="A1" s="8" t="s">
        <v>74</v>
      </c>
      <c r="H1" s="13"/>
      <c r="N1" s="33" t="s">
        <v>42</v>
      </c>
      <c r="O1" s="28"/>
      <c r="P1" s="2"/>
    </row>
    <row r="2" spans="1:16" ht="11.25">
      <c r="A2" s="1" t="s">
        <v>0</v>
      </c>
      <c r="O2" s="28"/>
      <c r="P2" s="2"/>
    </row>
    <row r="3" spans="12:16" ht="11.25">
      <c r="L3" s="12"/>
      <c r="N3" s="28" t="s">
        <v>34</v>
      </c>
      <c r="O3" s="28"/>
      <c r="P3" s="2"/>
    </row>
    <row r="4" spans="1:15" ht="11.25">
      <c r="A4" s="14" t="s">
        <v>39</v>
      </c>
      <c r="B4" s="3"/>
      <c r="C4" s="3"/>
      <c r="D4" s="3"/>
      <c r="E4" s="3"/>
      <c r="F4" s="3"/>
      <c r="G4" s="3"/>
      <c r="H4" s="3" t="s">
        <v>1</v>
      </c>
      <c r="I4" s="3"/>
      <c r="J4" s="3"/>
      <c r="K4" s="3"/>
      <c r="L4" s="18" t="s">
        <v>29</v>
      </c>
      <c r="M4" s="3"/>
      <c r="N4" s="34" t="s">
        <v>75</v>
      </c>
      <c r="O4" s="34" t="s">
        <v>72</v>
      </c>
    </row>
    <row r="5" spans="2:15" ht="11.25">
      <c r="B5" s="3" t="s">
        <v>2</v>
      </c>
      <c r="C5" s="3"/>
      <c r="D5" s="3" t="s">
        <v>3</v>
      </c>
      <c r="E5" s="3"/>
      <c r="F5" s="3"/>
      <c r="G5" s="3"/>
      <c r="H5" s="3" t="s">
        <v>4</v>
      </c>
      <c r="I5" s="3"/>
      <c r="J5" s="3" t="s">
        <v>5</v>
      </c>
      <c r="K5" s="3" t="s">
        <v>6</v>
      </c>
      <c r="L5" s="18" t="s">
        <v>30</v>
      </c>
      <c r="M5" s="3"/>
      <c r="N5" s="34" t="s">
        <v>48</v>
      </c>
      <c r="O5" s="3" t="s">
        <v>7</v>
      </c>
    </row>
    <row r="6" spans="2:15" ht="11.25">
      <c r="B6" s="4" t="s">
        <v>8</v>
      </c>
      <c r="C6" s="4" t="s">
        <v>9</v>
      </c>
      <c r="D6" s="4" t="s">
        <v>10</v>
      </c>
      <c r="E6" s="4" t="s">
        <v>11</v>
      </c>
      <c r="F6" s="4" t="s">
        <v>12</v>
      </c>
      <c r="G6" s="4" t="s">
        <v>13</v>
      </c>
      <c r="H6" s="4" t="s">
        <v>10</v>
      </c>
      <c r="I6" s="4" t="s">
        <v>14</v>
      </c>
      <c r="J6" s="4" t="s">
        <v>15</v>
      </c>
      <c r="K6" s="4" t="s">
        <v>16</v>
      </c>
      <c r="L6" s="26" t="s">
        <v>10</v>
      </c>
      <c r="M6" s="4" t="s">
        <v>26</v>
      </c>
      <c r="N6" s="35" t="s">
        <v>8</v>
      </c>
      <c r="O6" s="32" t="s">
        <v>8</v>
      </c>
    </row>
    <row r="7" spans="1:16" s="7" customFormat="1" ht="11.25">
      <c r="A7" s="5" t="s">
        <v>17</v>
      </c>
      <c r="B7" s="6"/>
      <c r="C7" s="6"/>
      <c r="D7" s="6"/>
      <c r="E7" s="6"/>
      <c r="F7" s="6"/>
      <c r="G7" s="6"/>
      <c r="H7" s="6"/>
      <c r="I7" s="6"/>
      <c r="J7" s="6"/>
      <c r="K7" s="6"/>
      <c r="L7" s="6"/>
      <c r="M7" s="6"/>
      <c r="N7" s="6"/>
      <c r="O7" s="6"/>
      <c r="P7" s="29"/>
    </row>
    <row r="8" spans="1:15" ht="11.25" customHeight="1">
      <c r="A8" s="8" t="s">
        <v>18</v>
      </c>
      <c r="B8" s="2">
        <f>SUM(B9:B14)</f>
        <v>12748429.41</v>
      </c>
      <c r="C8" s="2">
        <f aca="true" t="shared" si="0" ref="C8:O8">SUM(C9:C14)</f>
        <v>72045553.47</v>
      </c>
      <c r="D8" s="2">
        <f t="shared" si="0"/>
        <v>17840876.19</v>
      </c>
      <c r="E8" s="2">
        <f t="shared" si="0"/>
        <v>3488618.02</v>
      </c>
      <c r="F8" s="2">
        <f t="shared" si="0"/>
        <v>995052.3300000001</v>
      </c>
      <c r="G8" s="2">
        <f t="shared" si="0"/>
        <v>12870182.609999998</v>
      </c>
      <c r="H8" s="2">
        <f t="shared" si="0"/>
        <v>1962461.1600000001</v>
      </c>
      <c r="I8" s="2">
        <f>SUM(I9:I14)</f>
        <v>620442.03</v>
      </c>
      <c r="J8" s="2">
        <f t="shared" si="0"/>
        <v>9833240.920000002</v>
      </c>
      <c r="K8" s="2">
        <f t="shared" si="0"/>
        <v>1720051.3699999999</v>
      </c>
      <c r="L8" s="2">
        <f t="shared" si="0"/>
        <v>5830457.47</v>
      </c>
      <c r="M8" s="2">
        <f t="shared" si="0"/>
        <v>407054.29000000004</v>
      </c>
      <c r="N8" s="2">
        <f t="shared" si="0"/>
        <v>140362419.27</v>
      </c>
      <c r="O8" s="2">
        <f t="shared" si="0"/>
        <v>130872846</v>
      </c>
    </row>
    <row r="9" spans="1:16" s="7" customFormat="1" ht="11.25" customHeight="1" outlineLevel="1">
      <c r="A9" s="7" t="s">
        <v>19</v>
      </c>
      <c r="B9" s="7">
        <f>SUM(Research!B9+Instruction!B9+Extension!B9)</f>
        <v>11001856.56</v>
      </c>
      <c r="C9" s="7">
        <f>SUM(Research!C9+Instruction!C9+Extension!C9)</f>
        <v>61721312.839999996</v>
      </c>
      <c r="D9" s="7">
        <f>SUM(Research!D9+Instruction!D9+Extension!D9)</f>
        <v>16148112.520000001</v>
      </c>
      <c r="E9" s="7">
        <f>SUM(Research!E9+Instruction!E9+Extension!E9)</f>
        <v>3389410.78</v>
      </c>
      <c r="F9" s="7">
        <f>SUM(Research!F9+Instruction!F9+Extension!F9)</f>
        <v>673764.52</v>
      </c>
      <c r="G9" s="7">
        <f>SUM(Research!G9+Instruction!G9+Extension!G9)</f>
        <v>10747280.95</v>
      </c>
      <c r="H9" s="7">
        <f>SUM(Research!H9+Instruction!H9+Extension!H9)</f>
        <v>1147541.51</v>
      </c>
      <c r="I9" s="7">
        <f>SUM(Research!I9+Instruction!I9+Extension!I9)</f>
        <v>5616.79</v>
      </c>
      <c r="J9" s="7">
        <f>SUM(Research!J9+Instruction!J9+Extension!J9)</f>
        <v>8417847.68</v>
      </c>
      <c r="K9" s="7">
        <f>SUM(Research!K9+Instruction!K9+Extension!K9)</f>
        <v>0</v>
      </c>
      <c r="L9" s="7">
        <f>SUM(Research!L9+Instruction!L9+Extension!L9)</f>
        <v>5010154.449999999</v>
      </c>
      <c r="M9" s="7">
        <f>SUM(Research!M9+Instruction!M9+Extension!M9)</f>
        <v>389725.23000000004</v>
      </c>
      <c r="N9" s="7">
        <f aca="true" t="shared" si="1" ref="N9:N14">SUM(B9:M9)</f>
        <v>118652623.83000001</v>
      </c>
      <c r="O9" s="7">
        <v>107795386</v>
      </c>
      <c r="P9" s="29"/>
    </row>
    <row r="10" spans="1:16" s="7" customFormat="1" ht="11.25" customHeight="1" outlineLevel="1">
      <c r="A10" s="7" t="s">
        <v>20</v>
      </c>
      <c r="B10" s="7">
        <f>SUM(Research!B10+Instruction!B10+Extension!B10)</f>
        <v>25099.82</v>
      </c>
      <c r="C10" s="7">
        <f>SUM(Research!C10+Instruction!C10+Extension!C10)</f>
        <v>995259.3400000001</v>
      </c>
      <c r="D10" s="7">
        <f>SUM(Research!D10+Instruction!D10+Extension!D10)</f>
        <v>489107.36</v>
      </c>
      <c r="E10" s="7">
        <f>SUM(Research!E10+Instruction!E10+Extension!E10)</f>
        <v>0</v>
      </c>
      <c r="F10" s="7">
        <f>SUM(Research!F10+Instruction!F10+Extension!F10)</f>
        <v>0</v>
      </c>
      <c r="G10" s="7">
        <f>SUM(Research!G10+Instruction!G10+Extension!G10)</f>
        <v>422062.12</v>
      </c>
      <c r="H10" s="7">
        <f>SUM(Research!H10+Instruction!H10+Extension!H10)</f>
        <v>35277.5</v>
      </c>
      <c r="I10" s="7">
        <f>SUM(Research!I10+Instruction!I10+Extension!I10)</f>
        <v>0</v>
      </c>
      <c r="J10" s="7">
        <f>SUM(Research!J10+Instruction!J10+Extension!J10)</f>
        <v>367556.88999999996</v>
      </c>
      <c r="K10" s="7">
        <f>SUM(Research!K10+Instruction!K10+Extension!K10)</f>
        <v>494450.91</v>
      </c>
      <c r="L10" s="7">
        <f>SUM(Research!L10+Instruction!L10+Extension!L10)</f>
        <v>303188.37</v>
      </c>
      <c r="M10" s="7">
        <f>SUM(Research!M10+Instruction!M10+Extension!M10)</f>
        <v>10464.41</v>
      </c>
      <c r="N10" s="7">
        <f t="shared" si="1"/>
        <v>3142466.7200000007</v>
      </c>
      <c r="O10" s="7">
        <v>2861489</v>
      </c>
      <c r="P10" s="29"/>
    </row>
    <row r="11" spans="1:15" ht="11.25" outlineLevel="1">
      <c r="A11" s="2" t="s">
        <v>21</v>
      </c>
      <c r="B11" s="2">
        <f>SUM(Research!B11+Instruction!B11+Extension!B11)</f>
        <v>0</v>
      </c>
      <c r="C11" s="2">
        <f>SUM(Research!C11+Instruction!C11+Extension!C11)</f>
        <v>5538771.95</v>
      </c>
      <c r="D11" s="2">
        <f>SUM(Research!D11+Instruction!D11+Extension!D11)</f>
        <v>0</v>
      </c>
      <c r="E11" s="2">
        <f>SUM(Research!E11+Instruction!E11+Extension!E11)</f>
        <v>0</v>
      </c>
      <c r="F11" s="2">
        <f>SUM(Research!F11+Instruction!F11+Extension!F11)</f>
        <v>0</v>
      </c>
      <c r="G11" s="2">
        <f>SUM(Research!G11+Instruction!G11+Extension!G11)</f>
        <v>0</v>
      </c>
      <c r="H11" s="2">
        <f>SUM(Research!H11+Instruction!H11+Extension!H11)</f>
        <v>0</v>
      </c>
      <c r="I11" s="2">
        <f>SUM(Research!I11+Instruction!I11+Extension!I11)</f>
        <v>0</v>
      </c>
      <c r="J11" s="2">
        <f>SUM(Research!J11+Instruction!J11+Extension!J11)</f>
        <v>0</v>
      </c>
      <c r="K11" s="2">
        <f>SUM(Research!K11+Instruction!K11+Extension!K11)</f>
        <v>0</v>
      </c>
      <c r="L11" s="2">
        <f>SUM(Research!L11+Instruction!L11+Extension!L11)</f>
        <v>0</v>
      </c>
      <c r="M11" s="2">
        <f>SUM(Research!M11+Instruction!M11+Extension!M11)</f>
        <v>0</v>
      </c>
      <c r="N11" s="7">
        <f t="shared" si="1"/>
        <v>5538771.95</v>
      </c>
      <c r="O11" s="2">
        <v>6268115</v>
      </c>
    </row>
    <row r="12" spans="1:16" ht="11.25" outlineLevel="1">
      <c r="A12" s="15" t="s">
        <v>35</v>
      </c>
      <c r="B12" s="2">
        <f>SUM(Research!B12+Instruction!B12+Extension!B12)</f>
        <v>35499.24</v>
      </c>
      <c r="C12" s="2">
        <f>SUM(Research!C12+Instruction!C12+Extension!C12)</f>
        <v>5558.52</v>
      </c>
      <c r="D12" s="2">
        <f>SUM(Research!D12+Instruction!D12+Extension!D12)</f>
        <v>34566.18</v>
      </c>
      <c r="E12" s="2">
        <f>SUM(Research!E12+Instruction!E12+Extension!E12)</f>
        <v>0</v>
      </c>
      <c r="F12" s="2">
        <f>SUM(Research!F12+Instruction!F12+Extension!F12)</f>
        <v>0</v>
      </c>
      <c r="G12" s="2">
        <f>SUM(Research!G12+Instruction!G12+Extension!G12)</f>
        <v>111597.04</v>
      </c>
      <c r="H12" s="2">
        <f>SUM(Research!H12+Instruction!H12+Extension!H12)</f>
        <v>0</v>
      </c>
      <c r="I12" s="2">
        <f>SUM(Research!I12+Instruction!I12+Extension!I12)</f>
        <v>0</v>
      </c>
      <c r="J12" s="2">
        <f>SUM(Research!J12+Instruction!J12+Extension!J12)</f>
        <v>824.72</v>
      </c>
      <c r="K12" s="2">
        <f>SUM(Research!K12+Instruction!K12+Extension!K12)</f>
        <v>0</v>
      </c>
      <c r="L12" s="2">
        <f>SUM(Research!L12+Instruction!L12+Extension!L12)</f>
        <v>-47.42</v>
      </c>
      <c r="M12" s="2">
        <f>SUM(Research!M12+Instruction!M12+Extension!M12)</f>
        <v>0</v>
      </c>
      <c r="N12" s="7">
        <f t="shared" si="1"/>
        <v>187998.27999999997</v>
      </c>
      <c r="O12" s="2">
        <v>174509</v>
      </c>
      <c r="P12" s="29"/>
    </row>
    <row r="13" spans="1:16" ht="11.25" outlineLevel="1">
      <c r="A13" s="15" t="s">
        <v>36</v>
      </c>
      <c r="B13" s="2">
        <f>SUM(Research!B13+Instruction!B13+Extension!B13)</f>
        <v>1674469.09</v>
      </c>
      <c r="C13" s="2">
        <f>SUM(Research!C13+Instruction!C13+Extension!C13)</f>
        <v>3357521.42</v>
      </c>
      <c r="D13" s="2">
        <f>SUM(Research!D13+Instruction!D13+Extension!D13)</f>
        <v>945078.96</v>
      </c>
      <c r="E13" s="2">
        <f>SUM(Research!E13+Instruction!E13+Extension!E13)</f>
        <v>99207.24</v>
      </c>
      <c r="F13" s="2">
        <f>SUM(Research!F13+Instruction!F13+Extension!F13)</f>
        <v>321287.81</v>
      </c>
      <c r="G13" s="2">
        <f>SUM(Research!G13+Instruction!G13+Extension!G13)</f>
        <v>1397566.26</v>
      </c>
      <c r="H13" s="2">
        <f>SUM(Research!H13+Instruction!H13+Extension!H13)</f>
        <v>764587.86</v>
      </c>
      <c r="I13" s="2">
        <f>SUM(Research!I13+Instruction!I13+Extension!I13)</f>
        <v>614825.24</v>
      </c>
      <c r="J13" s="2">
        <f>SUM(Research!J13+Instruction!J13+Extension!J13)</f>
        <v>876474.38</v>
      </c>
      <c r="K13" s="2">
        <f>SUM(Research!K13+Instruction!K13+Extension!K13)</f>
        <v>958596.97</v>
      </c>
      <c r="L13" s="2">
        <f>SUM(Research!L13+Instruction!L13+Extension!L13)</f>
        <v>433482.08</v>
      </c>
      <c r="M13" s="2">
        <f>SUM(Research!M13+Instruction!M13+Extension!M13)</f>
        <v>0</v>
      </c>
      <c r="N13" s="7">
        <f t="shared" si="1"/>
        <v>11443097.31</v>
      </c>
      <c r="O13" s="2">
        <v>12482549</v>
      </c>
      <c r="P13" s="29"/>
    </row>
    <row r="14" spans="1:16" ht="11.25" outlineLevel="1">
      <c r="A14" s="15" t="s">
        <v>37</v>
      </c>
      <c r="B14" s="2">
        <f>SUM(Research!B14+Instruction!B14+Extension!B14)</f>
        <v>11504.7</v>
      </c>
      <c r="C14" s="7">
        <f>SUM(Research!C14+Instruction!C14+Extension!C14)</f>
        <v>427129.4</v>
      </c>
      <c r="D14" s="2">
        <f>SUM(Research!D14+Instruction!D14+Extension!D14)</f>
        <v>224011.17</v>
      </c>
      <c r="E14" s="2">
        <f>SUM(Research!E14+Instruction!E14+Extension!E14)</f>
        <v>0</v>
      </c>
      <c r="F14" s="2">
        <f>SUM(Research!F14+Instruction!F14+Extension!F14)</f>
        <v>0</v>
      </c>
      <c r="G14" s="2">
        <f>SUM(Research!G14+Instruction!G14+Extension!G14)</f>
        <v>191676.24</v>
      </c>
      <c r="H14" s="2">
        <f>SUM(Research!H14+Instruction!H14+Extension!H14)</f>
        <v>15054.29</v>
      </c>
      <c r="I14" s="2">
        <f>SUM(Research!I14+Instruction!I14+Extension!I14)</f>
        <v>0</v>
      </c>
      <c r="J14" s="2">
        <f>SUM(Research!J14+Instruction!J14+Extension!J14)</f>
        <v>170537.25</v>
      </c>
      <c r="K14" s="2">
        <f>SUM(Research!K14+Instruction!K14+Extension!K14)</f>
        <v>267003.49</v>
      </c>
      <c r="L14" s="2">
        <f>SUM(Research!L14+Instruction!L14+Extension!L14)</f>
        <v>83679.99</v>
      </c>
      <c r="M14" s="2">
        <f>SUM(Research!M14+Instruction!M14+Extension!M14)</f>
        <v>6864.65</v>
      </c>
      <c r="N14" s="7">
        <f t="shared" si="1"/>
        <v>1397461.18</v>
      </c>
      <c r="O14" s="2">
        <v>1290798</v>
      </c>
      <c r="P14" s="18"/>
    </row>
    <row r="16" spans="1:15" ht="11.25">
      <c r="A16" s="1" t="s">
        <v>25</v>
      </c>
      <c r="B16" s="2">
        <f aca="true" t="shared" si="2" ref="B16:O16">SUM(B17:B19)</f>
        <v>3156394.6899999995</v>
      </c>
      <c r="C16" s="2">
        <f t="shared" si="2"/>
        <v>2778472.8</v>
      </c>
      <c r="D16" s="2">
        <f t="shared" si="2"/>
        <v>2303170.82</v>
      </c>
      <c r="E16" s="2">
        <f t="shared" si="2"/>
        <v>109867.78</v>
      </c>
      <c r="F16" s="2">
        <f t="shared" si="2"/>
        <v>95788.92</v>
      </c>
      <c r="G16" s="2">
        <f t="shared" si="2"/>
        <v>1666193.29</v>
      </c>
      <c r="H16" s="2">
        <f t="shared" si="2"/>
        <v>888836.48</v>
      </c>
      <c r="I16" s="2">
        <f t="shared" si="2"/>
        <v>278086.02</v>
      </c>
      <c r="J16" s="2">
        <f t="shared" si="2"/>
        <v>2800088.5100000002</v>
      </c>
      <c r="K16" s="2">
        <f t="shared" si="2"/>
        <v>386534.98</v>
      </c>
      <c r="L16" s="2">
        <f t="shared" si="2"/>
        <v>681061.14</v>
      </c>
      <c r="M16" s="2">
        <f t="shared" si="2"/>
        <v>0</v>
      </c>
      <c r="N16" s="2">
        <f t="shared" si="2"/>
        <v>15144495.43</v>
      </c>
      <c r="O16" s="2">
        <f t="shared" si="2"/>
        <v>14980547</v>
      </c>
    </row>
    <row r="17" spans="1:15" ht="11.25" outlineLevel="1">
      <c r="A17" s="2" t="s">
        <v>22</v>
      </c>
      <c r="B17" s="2">
        <f>SUM(Research!B17+Instruction!B17+Extension!B17)</f>
        <v>3070242.57</v>
      </c>
      <c r="C17" s="2">
        <f>SUM(Research!C17+Instruction!C17+Extension!C17)</f>
        <v>2485381.42</v>
      </c>
      <c r="D17" s="2">
        <f>SUM(Research!D17+Instruction!D17+Extension!D17)</f>
        <v>1855516.8</v>
      </c>
      <c r="E17" s="2">
        <f>SUM(Research!E17+Instruction!E17+Extension!E17)</f>
        <v>95583.28</v>
      </c>
      <c r="F17" s="2">
        <f>SUM(Research!F17+Instruction!F17+Extension!F17)</f>
        <v>93975.56</v>
      </c>
      <c r="G17" s="2">
        <f>SUM(Research!G17+Instruction!G17+Extension!G17)</f>
        <v>1381735.78</v>
      </c>
      <c r="H17" s="2">
        <f>SUM(Research!H17+Instruction!H17+Extension!H17)</f>
        <v>854640.01</v>
      </c>
      <c r="I17" s="2">
        <f>SUM(Research!I17+Instruction!I17+Extension!I17)</f>
        <v>278086.02</v>
      </c>
      <c r="J17" s="2">
        <f>SUM(Research!J17+Instruction!J17+Extension!J17)</f>
        <v>2405515.8000000003</v>
      </c>
      <c r="K17" s="2">
        <f>SUM(Research!K17+Instruction!K17+Extension!K17)</f>
        <v>386534.98</v>
      </c>
      <c r="L17" s="2">
        <f>SUM(Research!L17+Instruction!L17+Extension!L17)</f>
        <v>606067.52</v>
      </c>
      <c r="M17" s="2">
        <f>SUM(Research!M17+Instruction!M17+Extension!M17)</f>
        <v>0</v>
      </c>
      <c r="N17" s="7">
        <f>SUM(B17:M17)</f>
        <v>13513279.74</v>
      </c>
      <c r="O17" s="2">
        <v>13503915</v>
      </c>
    </row>
    <row r="18" spans="1:15" ht="11.25" outlineLevel="1">
      <c r="A18" s="2" t="s">
        <v>46</v>
      </c>
      <c r="B18" s="2">
        <f>SUM(Research!B18+Instruction!B18+Extension!B18)</f>
        <v>0.07</v>
      </c>
      <c r="C18" s="2">
        <f>SUM(Research!C18+Instruction!C18+Extension!C18)</f>
        <v>0</v>
      </c>
      <c r="D18" s="2">
        <f>SUM(Research!D18+Instruction!D18+Extension!D18)</f>
        <v>0</v>
      </c>
      <c r="E18" s="2">
        <f>SUM(Research!E18+Instruction!E18+Extension!E18)</f>
        <v>0</v>
      </c>
      <c r="F18" s="2">
        <f>SUM(Research!F18+Instruction!F18+Extension!F18)</f>
        <v>0</v>
      </c>
      <c r="G18" s="2">
        <f>SUM(Research!G18+Instruction!G18+Extension!G18)</f>
        <v>0</v>
      </c>
      <c r="H18" s="2">
        <f>SUM(Research!H18+Instruction!H18+Extension!H18)</f>
        <v>0</v>
      </c>
      <c r="I18" s="2">
        <f>SUM(Research!I18+Instruction!I18+Extension!I18)</f>
        <v>0</v>
      </c>
      <c r="J18" s="2">
        <f>SUM(Research!J18+Instruction!J18+Extension!J18)</f>
        <v>0</v>
      </c>
      <c r="K18" s="2">
        <f>SUM(Research!K18+Instruction!K18+Extension!K18)</f>
        <v>0</v>
      </c>
      <c r="L18" s="2">
        <f>SUM(Research!L18+Instruction!L18+Extension!L18)</f>
        <v>0</v>
      </c>
      <c r="M18" s="2">
        <f>SUM(Research!M18+Instruction!M18+Extension!M18)</f>
        <v>0</v>
      </c>
      <c r="N18" s="7">
        <f>SUM(B18:M18)</f>
        <v>0.07</v>
      </c>
      <c r="O18" s="2">
        <v>22505</v>
      </c>
    </row>
    <row r="19" spans="1:15" ht="11.25" outlineLevel="1">
      <c r="A19" s="15" t="s">
        <v>38</v>
      </c>
      <c r="B19" s="2">
        <f>SUM(Research!B19+Instruction!B19+Extension!B19)</f>
        <v>86152.05</v>
      </c>
      <c r="C19" s="2">
        <f>SUM(Research!C19+Instruction!C19+Extension!C19)</f>
        <v>293091.38</v>
      </c>
      <c r="D19" s="2">
        <f>SUM(Research!D19+Instruction!D19+Extension!D19)</f>
        <v>447654.01999999996</v>
      </c>
      <c r="E19" s="2">
        <f>SUM(Research!E19+Instruction!E19+Extension!E19)</f>
        <v>14284.5</v>
      </c>
      <c r="F19" s="2">
        <f>SUM(Research!F19+Instruction!F19+Extension!F19)</f>
        <v>1813.36</v>
      </c>
      <c r="G19" s="2">
        <f>SUM(Research!G19+Instruction!G19+Extension!G19)</f>
        <v>284457.51</v>
      </c>
      <c r="H19" s="2">
        <f>SUM(Research!H19+Instruction!H19+Extension!H19)</f>
        <v>34196.47</v>
      </c>
      <c r="I19" s="2">
        <f>SUM(Research!I19+Instruction!I19+Extension!I19)</f>
        <v>0</v>
      </c>
      <c r="J19" s="2">
        <f>SUM(Research!J19+Instruction!J19+Extension!J19)</f>
        <v>394572.70999999996</v>
      </c>
      <c r="K19" s="2">
        <f>SUM(Research!K19+Instruction!K19+Extension!K19)</f>
        <v>0</v>
      </c>
      <c r="L19" s="2">
        <f>SUM(Research!L19+Instruction!L19+Extension!L19)</f>
        <v>74993.62</v>
      </c>
      <c r="M19" s="2">
        <f>SUM(Research!M19+Instruction!M19+Extension!M19)</f>
        <v>0</v>
      </c>
      <c r="N19" s="7">
        <f>SUM(B19:M19)</f>
        <v>1631215.6199999996</v>
      </c>
      <c r="O19" s="2">
        <v>1454127</v>
      </c>
    </row>
    <row r="21" spans="1:15" ht="11.25">
      <c r="A21" s="1" t="s">
        <v>23</v>
      </c>
      <c r="B21" s="2">
        <f aca="true" t="shared" si="3" ref="B21:O21">SUM(B22:B24)</f>
        <v>9308707.43</v>
      </c>
      <c r="C21" s="2">
        <f t="shared" si="3"/>
        <v>14373383.7</v>
      </c>
      <c r="D21" s="2">
        <f t="shared" si="3"/>
        <v>8248577.03</v>
      </c>
      <c r="E21" s="2">
        <f t="shared" si="3"/>
        <v>69856.22</v>
      </c>
      <c r="F21" s="2">
        <f t="shared" si="3"/>
        <v>6068623.28</v>
      </c>
      <c r="G21" s="2">
        <f t="shared" si="3"/>
        <v>10607660.760000002</v>
      </c>
      <c r="H21" s="2">
        <f t="shared" si="3"/>
        <v>3003209.8900000006</v>
      </c>
      <c r="I21" s="2">
        <f t="shared" si="3"/>
        <v>1507882.38</v>
      </c>
      <c r="J21" s="2">
        <f t="shared" si="3"/>
        <v>4877111.87</v>
      </c>
      <c r="K21" s="2">
        <f t="shared" si="3"/>
        <v>2226371.69</v>
      </c>
      <c r="L21" s="2">
        <f t="shared" si="3"/>
        <v>8020110.29</v>
      </c>
      <c r="M21" s="2">
        <f t="shared" si="3"/>
        <v>0</v>
      </c>
      <c r="N21" s="2">
        <f t="shared" si="3"/>
        <v>68311494.54</v>
      </c>
      <c r="O21" s="2">
        <f t="shared" si="3"/>
        <v>69742949</v>
      </c>
    </row>
    <row r="22" spans="1:15" ht="11.25" outlineLevel="1">
      <c r="A22" s="2" t="s">
        <v>22</v>
      </c>
      <c r="B22" s="2">
        <f>SUM(Research!B22+Instruction!B22+Extension!B22)</f>
        <v>8268368.130000001</v>
      </c>
      <c r="C22" s="2">
        <f>SUM(Research!C22+Instruction!C22+Extension!C22)</f>
        <v>12434383.709999999</v>
      </c>
      <c r="D22" s="2">
        <f>SUM(Research!D22+Instruction!D22+Extension!D22)</f>
        <v>6445642.86</v>
      </c>
      <c r="E22" s="2">
        <f>SUM(Research!E22+Instruction!E22+Extension!E22)</f>
        <v>60881.31999999999</v>
      </c>
      <c r="F22" s="2">
        <f>SUM(Research!F22+Instruction!F22+Extension!F22)</f>
        <v>275227.95</v>
      </c>
      <c r="G22" s="2">
        <f>SUM(Research!G22+Instruction!G22+Extension!G22)</f>
        <v>8558554.270000001</v>
      </c>
      <c r="H22" s="2">
        <f>SUM(Research!H22+Instruction!H22+Extension!H22)</f>
        <v>2428151.1500000004</v>
      </c>
      <c r="I22" s="2">
        <f>SUM(Research!I22+Instruction!I22+Extension!I22)</f>
        <v>1469284.48</v>
      </c>
      <c r="J22" s="2">
        <f>SUM(Research!J22+Instruction!J22+Extension!J22)</f>
        <v>3702644.06</v>
      </c>
      <c r="K22" s="2">
        <f>SUM(Research!K22+Instruction!K22+Extension!K22)</f>
        <v>2137316.21</v>
      </c>
      <c r="L22" s="2">
        <f>SUM(Research!L22+Instruction!L22+Extension!L22)</f>
        <v>7439463.91</v>
      </c>
      <c r="M22" s="2">
        <f>SUM(Research!M22+Instruction!M22+Extension!M22)</f>
        <v>0</v>
      </c>
      <c r="N22" s="7">
        <f>SUM(B22:M22)</f>
        <v>53219918.05</v>
      </c>
      <c r="O22" s="2">
        <v>51208897</v>
      </c>
    </row>
    <row r="23" spans="1:15" ht="11.25" outlineLevel="1">
      <c r="A23" s="2" t="s">
        <v>46</v>
      </c>
      <c r="B23" s="2">
        <f>SUM(Research!B23+Instruction!B23+Extension!B23)</f>
        <v>303081.60000000003</v>
      </c>
      <c r="C23" s="2">
        <f>SUM(Research!C23+Instruction!C23+Extension!C23)</f>
        <v>0</v>
      </c>
      <c r="D23" s="2">
        <f>SUM(Research!D23+Instruction!D23+Extension!D23)</f>
        <v>0</v>
      </c>
      <c r="E23" s="2">
        <f>SUM(Research!E23+Instruction!E23+Extension!E23)</f>
        <v>0</v>
      </c>
      <c r="F23" s="2">
        <f>SUM(Research!F23+Instruction!F23+Extension!F23)</f>
        <v>4680155.46</v>
      </c>
      <c r="G23" s="2">
        <f>SUM(Research!G23+Instruction!G23+Extension!G23)</f>
        <v>13673.72</v>
      </c>
      <c r="H23" s="2">
        <f>SUM(Research!H23+Instruction!H23+Extension!H23)</f>
        <v>0</v>
      </c>
      <c r="I23" s="2">
        <f>SUM(Research!I23+Instruction!I23+Extension!I23)</f>
        <v>0</v>
      </c>
      <c r="J23" s="2">
        <f>SUM(Research!J23+Instruction!J23+Extension!J23)</f>
        <v>0</v>
      </c>
      <c r="K23" s="2">
        <f>SUM(Research!K23+Instruction!K23+Extension!K23)</f>
        <v>0</v>
      </c>
      <c r="L23" s="2">
        <f>SUM(Research!L23+Instruction!L23+Extension!L23)</f>
        <v>0</v>
      </c>
      <c r="M23" s="2">
        <f>SUM(Research!M23+Instruction!M23+Extension!M23)</f>
        <v>0</v>
      </c>
      <c r="N23" s="7">
        <f>SUM(B23:M23)</f>
        <v>4996910.779999999</v>
      </c>
      <c r="O23" s="2">
        <v>7435422</v>
      </c>
    </row>
    <row r="24" spans="1:15" ht="11.25" outlineLevel="1">
      <c r="A24" s="15" t="s">
        <v>38</v>
      </c>
      <c r="B24" s="2">
        <f>SUM(Research!B24+Instruction!B24+Extension!B24)</f>
        <v>737257.7</v>
      </c>
      <c r="C24" s="2">
        <f>SUM(Research!C24+Instruction!C24+Extension!C24)</f>
        <v>1938999.99</v>
      </c>
      <c r="D24" s="2">
        <f>SUM(Research!D24+Instruction!D24+Extension!D24)</f>
        <v>1802934.17</v>
      </c>
      <c r="E24" s="2">
        <f>SUM(Research!E24+Instruction!E24+Extension!E24)</f>
        <v>8974.900000000001</v>
      </c>
      <c r="F24" s="2">
        <f>SUM(Research!F24+Instruction!F24+Extension!F24)</f>
        <v>1113239.8699999999</v>
      </c>
      <c r="G24" s="2">
        <f>SUM(Research!G24+Instruction!G24+Extension!G24)</f>
        <v>2035432.77</v>
      </c>
      <c r="H24" s="2">
        <f>SUM(Research!H24+Instruction!H24+Extension!H24)</f>
        <v>575058.74</v>
      </c>
      <c r="I24" s="2">
        <f>SUM(Research!I24+Instruction!I24+Extension!I24)</f>
        <v>38597.9</v>
      </c>
      <c r="J24" s="2">
        <f>SUM(Research!J24+Instruction!J24+Extension!J24)</f>
        <v>1174467.8099999998</v>
      </c>
      <c r="K24" s="2">
        <f>SUM(Research!K24+Instruction!K24+Extension!K24)</f>
        <v>89055.48</v>
      </c>
      <c r="L24" s="2">
        <f>SUM(Research!L24+Instruction!L24+Extension!L24)</f>
        <v>580646.38</v>
      </c>
      <c r="M24" s="2">
        <f>SUM(Research!M24+Instruction!M24+Extension!M24)</f>
        <v>0</v>
      </c>
      <c r="N24" s="7">
        <f>SUM(B24:M24)</f>
        <v>10094665.710000003</v>
      </c>
      <c r="O24" s="2">
        <v>11098630</v>
      </c>
    </row>
    <row r="26" spans="1:15" ht="11.25">
      <c r="A26" s="1" t="s">
        <v>24</v>
      </c>
      <c r="B26" s="2">
        <f aca="true" t="shared" si="4" ref="B26:O26">SUM(B27:B29)</f>
        <v>2382026.95</v>
      </c>
      <c r="C26" s="2">
        <f t="shared" si="4"/>
        <v>2388713.73</v>
      </c>
      <c r="D26" s="2">
        <f t="shared" si="4"/>
        <v>859613.07</v>
      </c>
      <c r="E26" s="2">
        <f t="shared" si="4"/>
        <v>140326.03</v>
      </c>
      <c r="F26" s="2">
        <f t="shared" si="4"/>
        <v>489383.39999999997</v>
      </c>
      <c r="G26" s="2">
        <f t="shared" si="4"/>
        <v>1554144.45</v>
      </c>
      <c r="H26" s="2">
        <f t="shared" si="4"/>
        <v>1552593.8800000001</v>
      </c>
      <c r="I26" s="2">
        <f t="shared" si="4"/>
        <v>62175.19</v>
      </c>
      <c r="J26" s="2">
        <f t="shared" si="4"/>
        <v>329997.97000000003</v>
      </c>
      <c r="K26" s="2">
        <f t="shared" si="4"/>
        <v>637726.2300000001</v>
      </c>
      <c r="L26" s="2">
        <f t="shared" si="4"/>
        <v>214433.78</v>
      </c>
      <c r="M26" s="2">
        <f t="shared" si="4"/>
        <v>0</v>
      </c>
      <c r="N26" s="2">
        <f t="shared" si="4"/>
        <v>10611134.68</v>
      </c>
      <c r="O26" s="2">
        <f t="shared" si="4"/>
        <v>12427817</v>
      </c>
    </row>
    <row r="27" spans="1:15" ht="11.25" outlineLevel="1">
      <c r="A27" s="2" t="s">
        <v>22</v>
      </c>
      <c r="B27" s="2">
        <f>SUM(Research!B27+Instruction!B27+Extension!B27)</f>
        <v>2309507.5100000002</v>
      </c>
      <c r="C27" s="2">
        <f>SUM(Research!C27+Instruction!C27+Extension!C27)</f>
        <v>2387828.03</v>
      </c>
      <c r="D27" s="2">
        <f>SUM(Research!D27+Instruction!D27+Extension!D27)</f>
        <v>827125.47</v>
      </c>
      <c r="E27" s="2">
        <f>SUM(Research!E27+Instruction!E27+Extension!E27)</f>
        <v>140326.03</v>
      </c>
      <c r="F27" s="2">
        <f>SUM(Research!F27+Instruction!F27+Extension!F27)</f>
        <v>463153.85</v>
      </c>
      <c r="G27" s="2">
        <f>SUM(Research!G27+Instruction!G27+Extension!G27)</f>
        <v>1541961.31</v>
      </c>
      <c r="H27" s="2">
        <f>SUM(Research!H27+Instruction!H27+Extension!H27)</f>
        <v>1372815.4100000001</v>
      </c>
      <c r="I27" s="2">
        <f>SUM(Research!I27+Instruction!I27+Extension!I27)</f>
        <v>62175.19</v>
      </c>
      <c r="J27" s="2">
        <f>SUM(Research!J27+Instruction!J27+Extension!J27)</f>
        <v>316488.51</v>
      </c>
      <c r="K27" s="2">
        <f>SUM(Research!K27+Instruction!K27+Extension!K27)</f>
        <v>524568.3400000001</v>
      </c>
      <c r="L27" s="2">
        <f>SUM(Research!L27+Instruction!L27+Extension!L27)</f>
        <v>156000.55</v>
      </c>
      <c r="M27" s="2">
        <f>SUM(Research!M27+Instruction!M27+Extension!M27)</f>
        <v>0</v>
      </c>
      <c r="N27" s="7">
        <f>SUM(B27:M27)</f>
        <v>10101950.2</v>
      </c>
      <c r="O27" s="2">
        <v>11940045</v>
      </c>
    </row>
    <row r="28" spans="1:15" ht="11.25" outlineLevel="1">
      <c r="A28" s="2" t="s">
        <v>46</v>
      </c>
      <c r="B28" s="2">
        <f>SUM(Research!B28+Instruction!B28+Extension!B28)</f>
        <v>-2989.4</v>
      </c>
      <c r="C28" s="2">
        <f>SUM(Research!C28+Instruction!C28+Extension!C28)</f>
        <v>0</v>
      </c>
      <c r="D28" s="2">
        <f>SUM(Research!D28+Instruction!D28+Extension!D28)</f>
        <v>0</v>
      </c>
      <c r="E28" s="2">
        <f>SUM(Research!E28+Instruction!E28+Extension!E28)</f>
        <v>0</v>
      </c>
      <c r="F28" s="2">
        <f>SUM(Research!F28+Instruction!F28+Extension!F28)</f>
        <v>0</v>
      </c>
      <c r="G28" s="2">
        <f>SUM(Research!G28+Instruction!G28+Extension!G28)</f>
        <v>0</v>
      </c>
      <c r="H28" s="2">
        <f>SUM(Research!H28+Instruction!H28+Extension!H28)</f>
        <v>0</v>
      </c>
      <c r="I28" s="2">
        <f>SUM(Research!I28+Instruction!I28+Extension!I28)</f>
        <v>0</v>
      </c>
      <c r="J28" s="2">
        <f>SUM(Research!J28+Instruction!J28+Extension!J28)</f>
        <v>0</v>
      </c>
      <c r="K28" s="2">
        <f>SUM(Research!K28+Instruction!K28+Extension!K28)</f>
        <v>0</v>
      </c>
      <c r="L28" s="2">
        <f>SUM(Research!L28+Instruction!L28+Extension!L28)</f>
        <v>0</v>
      </c>
      <c r="M28" s="2">
        <f>SUM(Research!M28+Instruction!M28+Extension!M28)</f>
        <v>0</v>
      </c>
      <c r="N28" s="7">
        <f>SUM(B28:M28)</f>
        <v>-2989.4</v>
      </c>
      <c r="O28" s="2">
        <v>42357</v>
      </c>
    </row>
    <row r="29" spans="1:15" ht="11.25" outlineLevel="1">
      <c r="A29" s="15" t="s">
        <v>38</v>
      </c>
      <c r="B29" s="2">
        <f>SUM(Research!B29+Instruction!B29+Extension!B29)</f>
        <v>75508.84</v>
      </c>
      <c r="C29" s="2">
        <f>SUM(Research!C29+Instruction!C29+Extension!C29)</f>
        <v>885.7</v>
      </c>
      <c r="D29" s="2">
        <f>SUM(Research!D29+Instruction!D29+Extension!D29)</f>
        <v>32487.6</v>
      </c>
      <c r="E29" s="2">
        <f>SUM(Research!E29+Instruction!E29+Extension!E29)</f>
        <v>0</v>
      </c>
      <c r="F29" s="2">
        <f>SUM(Research!F29+Instruction!F29+Extension!F29)</f>
        <v>26229.55</v>
      </c>
      <c r="G29" s="2">
        <f>SUM(Research!G29+Instruction!G29+Extension!G29)</f>
        <v>12183.14</v>
      </c>
      <c r="H29" s="2">
        <f>SUM(Research!H29+Instruction!H29+Extension!H29)</f>
        <v>179778.46999999997</v>
      </c>
      <c r="I29" s="2">
        <f>SUM(Research!I29+Instruction!I29+Extension!I29)</f>
        <v>0</v>
      </c>
      <c r="J29" s="2">
        <f>SUM(Research!J29+Instruction!J29+Extension!J29)</f>
        <v>13509.46</v>
      </c>
      <c r="K29" s="2">
        <f>SUM(Research!K29+Instruction!K29+Extension!K29)</f>
        <v>113157.89</v>
      </c>
      <c r="L29" s="2">
        <f>SUM(Research!L29+Instruction!L29+Extension!L29)</f>
        <v>58433.23</v>
      </c>
      <c r="M29" s="2">
        <f>SUM(Research!M29+Instruction!M29+Extension!M29)</f>
        <v>0</v>
      </c>
      <c r="N29" s="7">
        <f>SUM(B29:M29)</f>
        <v>512173.87999999995</v>
      </c>
      <c r="O29" s="2">
        <v>445415</v>
      </c>
    </row>
    <row r="30" ht="11.25">
      <c r="N30" s="7"/>
    </row>
    <row r="31" spans="1:15" ht="11.25">
      <c r="A31" s="1" t="s">
        <v>27</v>
      </c>
      <c r="B31" s="2">
        <f>SUM(Research!B31+Instruction!B31+Extension!B31)</f>
        <v>-15220.289999999999</v>
      </c>
      <c r="C31" s="2">
        <f>SUM(Research!C31+Instruction!C31+Extension!C31)</f>
        <v>6745561.93</v>
      </c>
      <c r="D31" s="2">
        <f>SUM(Research!D31+Instruction!D31+Extension!D31)</f>
        <v>0</v>
      </c>
      <c r="E31" s="2">
        <f>SUM(Research!E31+Instruction!E31+Extension!E31)</f>
        <v>0</v>
      </c>
      <c r="F31" s="2">
        <f>SUM(Research!F31+Instruction!F31+Extension!F31)</f>
        <v>0</v>
      </c>
      <c r="G31" s="2">
        <f>SUM(Research!G31+Instruction!G31+Extension!G31)</f>
        <v>0</v>
      </c>
      <c r="H31" s="2">
        <f>SUM(Research!H31+Instruction!H31+Extension!H31)</f>
        <v>0</v>
      </c>
      <c r="I31" s="2">
        <f>SUM(Research!I31+Instruction!I31+Extension!I31)</f>
        <v>0</v>
      </c>
      <c r="J31" s="2">
        <f>SUM(Research!J31+Instruction!J31+Extension!J31)</f>
        <v>0</v>
      </c>
      <c r="K31" s="2">
        <f>SUM(Research!K31+Instruction!K31+Extension!K31)</f>
        <v>0</v>
      </c>
      <c r="L31" s="2">
        <f>SUM(Research!L31+Instruction!L31+Extension!L31)</f>
        <v>0</v>
      </c>
      <c r="M31" s="2">
        <f>SUM(Research!M31+Instruction!M31+Extension!M31)</f>
        <v>0</v>
      </c>
      <c r="N31" s="7">
        <f>SUM(B31:M31)</f>
        <v>6730341.64</v>
      </c>
      <c r="O31" s="2">
        <v>12029849</v>
      </c>
    </row>
    <row r="32" spans="1:14" ht="11.25">
      <c r="A32" s="1"/>
      <c r="N32" s="7"/>
    </row>
    <row r="33" spans="1:16" s="40" customFormat="1" ht="11.25">
      <c r="A33" s="39" t="s">
        <v>73</v>
      </c>
      <c r="B33" s="40">
        <f aca="true" t="shared" si="5" ref="B33:L33">((B19+B24+B29)/(B17+B18+B22+B23+B27+B28))</f>
        <v>0.0644468759120704</v>
      </c>
      <c r="C33" s="40">
        <f t="shared" si="5"/>
        <v>0.12901719201261835</v>
      </c>
      <c r="D33" s="40">
        <f t="shared" si="5"/>
        <v>0.2501100433965081</v>
      </c>
      <c r="E33" s="40">
        <f t="shared" si="5"/>
        <v>0.07836972481240395</v>
      </c>
      <c r="F33" s="40">
        <f t="shared" si="5"/>
        <v>0.20703494345796372</v>
      </c>
      <c r="G33" s="40">
        <f t="shared" si="5"/>
        <v>0.2028608749423061</v>
      </c>
      <c r="H33" s="40">
        <f t="shared" si="5"/>
        <v>0.16948031757760834</v>
      </c>
      <c r="I33" s="40">
        <f t="shared" si="5"/>
        <v>0.021330160500119787</v>
      </c>
      <c r="J33" s="40">
        <f t="shared" si="5"/>
        <v>0.24632476189510116</v>
      </c>
      <c r="K33" s="40">
        <f t="shared" si="5"/>
        <v>0.06633383889913604</v>
      </c>
      <c r="L33" s="40">
        <f t="shared" si="5"/>
        <v>0.08706583498562424</v>
      </c>
      <c r="N33" s="40">
        <f>((N19+N24+N29)/(N17+N18+N22+N23+N27+N28))</f>
        <v>0.14955632874419258</v>
      </c>
      <c r="O33" s="40">
        <f>((O19+O24+O29)/(O17+O18+O22+O23+O27+O28))</f>
        <v>0.15445854837432627</v>
      </c>
      <c r="P33" s="41"/>
    </row>
    <row r="34" spans="2:15" ht="11.25">
      <c r="B34" s="9"/>
      <c r="C34" s="9"/>
      <c r="D34" s="9"/>
      <c r="E34" s="9"/>
      <c r="F34" s="9"/>
      <c r="G34" s="9"/>
      <c r="H34" s="9"/>
      <c r="I34" s="9"/>
      <c r="J34" s="9"/>
      <c r="K34" s="9"/>
      <c r="L34" s="9"/>
      <c r="M34" s="9"/>
      <c r="N34" s="9"/>
      <c r="O34" s="9"/>
    </row>
    <row r="35" spans="1:15" ht="12" thickBot="1">
      <c r="A35" s="8" t="s">
        <v>7</v>
      </c>
      <c r="B35" s="10">
        <f aca="true" t="shared" si="6" ref="B35:O35">+B31+B26+B21+B16+B8</f>
        <v>27580338.189999998</v>
      </c>
      <c r="C35" s="10">
        <f t="shared" si="6"/>
        <v>98331685.63</v>
      </c>
      <c r="D35" s="10">
        <f t="shared" si="6"/>
        <v>29252237.11</v>
      </c>
      <c r="E35" s="10">
        <f t="shared" si="6"/>
        <v>3808668.05</v>
      </c>
      <c r="F35" s="10">
        <f t="shared" si="6"/>
        <v>7648847.930000001</v>
      </c>
      <c r="G35" s="10">
        <f t="shared" si="6"/>
        <v>26698181.11</v>
      </c>
      <c r="H35" s="10">
        <f t="shared" si="6"/>
        <v>7407101.41</v>
      </c>
      <c r="I35" s="10">
        <f t="shared" si="6"/>
        <v>2468585.62</v>
      </c>
      <c r="J35" s="10">
        <f t="shared" si="6"/>
        <v>17840439.270000003</v>
      </c>
      <c r="K35" s="10">
        <f t="shared" si="6"/>
        <v>4970684.27</v>
      </c>
      <c r="L35" s="10">
        <f t="shared" si="6"/>
        <v>14746062.68</v>
      </c>
      <c r="M35" s="10">
        <f t="shared" si="6"/>
        <v>407054.29000000004</v>
      </c>
      <c r="N35" s="10">
        <f t="shared" si="6"/>
        <v>241159885.56000003</v>
      </c>
      <c r="O35" s="10">
        <f t="shared" si="6"/>
        <v>240054008</v>
      </c>
    </row>
    <row r="36" ht="12" thickTop="1"/>
    <row r="37" ht="11.25">
      <c r="A37" s="8"/>
    </row>
    <row r="39" spans="2:9" ht="11.25">
      <c r="B39" s="27"/>
      <c r="C39" s="12"/>
      <c r="D39" s="12"/>
      <c r="E39" s="12"/>
      <c r="F39" s="12"/>
      <c r="G39" s="12"/>
      <c r="H39" s="12"/>
      <c r="I39" s="12"/>
    </row>
    <row r="40" spans="2:9" ht="11.25">
      <c r="B40" s="12"/>
      <c r="C40" s="12"/>
      <c r="D40" s="12"/>
      <c r="E40" s="12"/>
      <c r="F40" s="12"/>
      <c r="G40" s="12"/>
      <c r="H40" s="12"/>
      <c r="I40" s="12"/>
    </row>
    <row r="41" spans="2:9" ht="11.25">
      <c r="B41" s="12"/>
      <c r="C41" s="12"/>
      <c r="D41" s="12"/>
      <c r="E41" s="12"/>
      <c r="F41" s="12"/>
      <c r="G41" s="12"/>
      <c r="H41" s="12"/>
      <c r="I41" s="12"/>
    </row>
    <row r="42" spans="2:9" ht="11.25">
      <c r="B42" s="12"/>
      <c r="C42" s="12"/>
      <c r="D42" s="12"/>
      <c r="E42" s="12"/>
      <c r="F42" s="12"/>
      <c r="G42" s="12"/>
      <c r="H42" s="12"/>
      <c r="I42" s="12"/>
    </row>
    <row r="43" spans="2:9" ht="11.25">
      <c r="B43" s="12"/>
      <c r="C43" s="12"/>
      <c r="D43" s="12"/>
      <c r="E43" s="12"/>
      <c r="F43" s="12"/>
      <c r="G43" s="12"/>
      <c r="H43" s="12"/>
      <c r="I43" s="12"/>
    </row>
    <row r="45" spans="11:15" ht="11.25">
      <c r="K45" s="12"/>
      <c r="L45" s="12"/>
      <c r="M45" s="12"/>
      <c r="N45" s="12"/>
      <c r="O45" s="12"/>
    </row>
    <row r="46" spans="11:15" ht="11.25">
      <c r="K46" s="12"/>
      <c r="L46" s="12"/>
      <c r="M46" s="12"/>
      <c r="N46" s="12"/>
      <c r="O46" s="12"/>
    </row>
    <row r="47" spans="11:15" ht="11.25">
      <c r="K47" s="8" t="s">
        <v>49</v>
      </c>
      <c r="N47" s="28" t="s">
        <v>50</v>
      </c>
      <c r="O47" s="28" t="s">
        <v>51</v>
      </c>
    </row>
    <row r="48" spans="11:15" ht="11.25">
      <c r="K48" s="8"/>
      <c r="N48" s="28" t="s">
        <v>52</v>
      </c>
      <c r="O48" s="28" t="s">
        <v>53</v>
      </c>
    </row>
    <row r="50" spans="11:15" ht="11.25">
      <c r="K50" s="2" t="s">
        <v>54</v>
      </c>
      <c r="L50" s="12"/>
      <c r="M50" s="12"/>
      <c r="N50" s="2">
        <f>Research!O50+Extension!N50</f>
        <v>133173880.67000002</v>
      </c>
      <c r="O50" s="2">
        <f>Research!P50+Extension!O50</f>
        <v>135067368.03</v>
      </c>
    </row>
    <row r="51" spans="11:15" ht="11.25">
      <c r="K51" s="2" t="s">
        <v>55</v>
      </c>
      <c r="L51" s="12"/>
      <c r="M51" s="12"/>
      <c r="N51" s="2">
        <f>Research!O51+Instruction!N51+Extension!N51</f>
        <v>81829069.44000001</v>
      </c>
      <c r="O51" s="2">
        <f>Research!P51+Instruction!O51+Extension!O51</f>
        <v>81829069.66</v>
      </c>
    </row>
    <row r="52" spans="12:13" ht="11.25">
      <c r="L52" s="12"/>
      <c r="M52" s="12"/>
    </row>
    <row r="53" spans="11:15" ht="12" thickBot="1">
      <c r="K53" s="2" t="s">
        <v>56</v>
      </c>
      <c r="L53" s="12"/>
      <c r="M53" s="12"/>
      <c r="N53" s="10">
        <f>+N50+N51</f>
        <v>215002950.11</v>
      </c>
      <c r="O53" s="10">
        <f>+O50+O51</f>
        <v>216896437.69</v>
      </c>
    </row>
    <row r="54" spans="12:13" ht="12" thickTop="1">
      <c r="L54" s="12"/>
      <c r="M54" s="12"/>
    </row>
    <row r="55" spans="1:15" ht="11.25">
      <c r="A55" s="11"/>
      <c r="B55" s="12"/>
      <c r="C55" s="12"/>
      <c r="D55" s="12"/>
      <c r="E55" s="12"/>
      <c r="F55" s="12"/>
      <c r="G55" s="12"/>
      <c r="H55" s="12"/>
      <c r="I55" s="12"/>
      <c r="J55" s="12"/>
      <c r="K55" s="15" t="s">
        <v>35</v>
      </c>
      <c r="N55" s="2">
        <f>N12</f>
        <v>187998.27999999997</v>
      </c>
      <c r="O55" s="2">
        <f>N12</f>
        <v>187998.27999999997</v>
      </c>
    </row>
    <row r="56" spans="1:15" ht="11.25">
      <c r="A56" s="11"/>
      <c r="B56" s="12"/>
      <c r="C56" s="12"/>
      <c r="D56" s="12"/>
      <c r="E56" s="12"/>
      <c r="F56" s="12"/>
      <c r="G56" s="12"/>
      <c r="H56" s="12"/>
      <c r="I56" s="12"/>
      <c r="J56" s="12"/>
      <c r="K56" s="15" t="s">
        <v>36</v>
      </c>
      <c r="N56" s="2">
        <f>N13</f>
        <v>11443097.31</v>
      </c>
      <c r="O56" s="2">
        <f>N13</f>
        <v>11443097.31</v>
      </c>
    </row>
    <row r="57" spans="2:15" ht="11.25">
      <c r="B57" s="12"/>
      <c r="C57" s="12"/>
      <c r="D57" s="12"/>
      <c r="E57" s="12"/>
      <c r="F57" s="12"/>
      <c r="G57" s="12"/>
      <c r="H57" s="12"/>
      <c r="I57" s="12"/>
      <c r="J57" s="12"/>
      <c r="K57" s="15" t="s">
        <v>38</v>
      </c>
      <c r="N57" s="2">
        <f>N19+N24+N29</f>
        <v>12238055.210000003</v>
      </c>
      <c r="O57" s="2">
        <f>N19+N24+N29</f>
        <v>12238055.210000003</v>
      </c>
    </row>
    <row r="58" spans="2:15" ht="11.25">
      <c r="B58" s="12"/>
      <c r="C58" s="12"/>
      <c r="D58" s="12"/>
      <c r="E58" s="12"/>
      <c r="F58" s="12"/>
      <c r="G58" s="12"/>
      <c r="H58" s="12"/>
      <c r="I58" s="12"/>
      <c r="J58" s="12"/>
      <c r="K58" s="15" t="s">
        <v>37</v>
      </c>
      <c r="L58" s="12"/>
      <c r="M58" s="12"/>
      <c r="N58" s="2">
        <f>N14</f>
        <v>1397461.18</v>
      </c>
      <c r="O58" s="2">
        <f>N14</f>
        <v>1397461.18</v>
      </c>
    </row>
    <row r="59" spans="2:15" ht="11.25">
      <c r="B59" s="12"/>
      <c r="C59" s="12"/>
      <c r="D59" s="12"/>
      <c r="E59" s="12"/>
      <c r="F59" s="12"/>
      <c r="G59" s="12"/>
      <c r="H59" s="12"/>
      <c r="I59" s="12"/>
      <c r="J59" s="12"/>
      <c r="K59" s="2" t="s">
        <v>57</v>
      </c>
      <c r="N59" s="2">
        <f>Instruction!N59</f>
        <v>518952.95999999996</v>
      </c>
      <c r="O59" s="2">
        <f>Instruction!N59</f>
        <v>518952.95999999996</v>
      </c>
    </row>
    <row r="60" spans="2:15" ht="11.25">
      <c r="B60" s="12"/>
      <c r="C60" s="12"/>
      <c r="D60" s="12"/>
      <c r="E60" s="12"/>
      <c r="F60" s="12"/>
      <c r="G60" s="12"/>
      <c r="H60" s="12"/>
      <c r="I60" s="12"/>
      <c r="J60" s="12"/>
      <c r="K60" s="2" t="s">
        <v>58</v>
      </c>
      <c r="L60" s="12"/>
      <c r="M60" s="12"/>
      <c r="N60" s="2">
        <f>Research!O59+Instruction!N60+Extension!N59</f>
        <v>371370.50999999995</v>
      </c>
      <c r="O60" s="2">
        <f>Research!P59+Instruction!O60+Extension!O59</f>
        <v>371370.50999999995</v>
      </c>
    </row>
    <row r="61" spans="2:15" ht="11.25">
      <c r="B61" s="12"/>
      <c r="C61" s="12"/>
      <c r="D61" s="12"/>
      <c r="E61" s="12"/>
      <c r="F61" s="12"/>
      <c r="G61" s="12"/>
      <c r="H61" s="12"/>
      <c r="I61" s="12"/>
      <c r="J61" s="12"/>
      <c r="K61" s="2" t="s">
        <v>59</v>
      </c>
      <c r="L61" s="12"/>
      <c r="M61" s="12"/>
      <c r="O61" s="2">
        <f>Research!P60+Instruction!O61+Extension!O60</f>
        <v>6482.36</v>
      </c>
    </row>
    <row r="62" spans="11:15" ht="11.25">
      <c r="K62" s="2" t="s">
        <v>77</v>
      </c>
      <c r="L62" s="12"/>
      <c r="M62" s="12"/>
      <c r="O62" s="2">
        <f>Research!P61</f>
        <v>148286</v>
      </c>
    </row>
    <row r="63" spans="11:15" ht="11.25">
      <c r="K63" s="2" t="s">
        <v>71</v>
      </c>
      <c r="L63" s="12"/>
      <c r="M63" s="12"/>
      <c r="O63" s="2">
        <f>Research!P62</f>
        <v>0</v>
      </c>
    </row>
    <row r="64" spans="11:15" ht="11.25">
      <c r="K64" s="2" t="s">
        <v>60</v>
      </c>
      <c r="L64" s="12"/>
      <c r="M64" s="12"/>
      <c r="N64" s="2">
        <f>Research!O63+Extension!N61</f>
        <v>0</v>
      </c>
      <c r="O64" s="2">
        <f>Research!P63+Extension!O61</f>
        <v>-2048255.73</v>
      </c>
    </row>
    <row r="65" spans="12:13" ht="11.25">
      <c r="L65" s="12"/>
      <c r="M65" s="12"/>
    </row>
    <row r="66" spans="11:15" ht="12" thickBot="1">
      <c r="K66" s="2" t="s">
        <v>61</v>
      </c>
      <c r="L66" s="12"/>
      <c r="M66" s="12"/>
      <c r="N66" s="10">
        <f>SUM(N53:N64)</f>
        <v>241159885.56000003</v>
      </c>
      <c r="O66" s="10">
        <f>SUM(O53:O64)</f>
        <v>241159885.77000004</v>
      </c>
    </row>
    <row r="67" spans="11:13" ht="12" thickTop="1">
      <c r="K67" s="12"/>
      <c r="L67" s="12"/>
      <c r="M67" s="12"/>
    </row>
    <row r="68" spans="11:15" ht="11.25">
      <c r="K68" s="12"/>
      <c r="L68" s="12"/>
      <c r="M68" s="12"/>
      <c r="N68" s="2">
        <f>+N35-N66</f>
        <v>0</v>
      </c>
      <c r="O68" s="2">
        <f>N66-O66</f>
        <v>-0.21000000834465027</v>
      </c>
    </row>
    <row r="69" spans="11:15" ht="11.25">
      <c r="K69" s="12"/>
      <c r="L69" s="12"/>
      <c r="M69" s="12"/>
      <c r="N69" s="12"/>
      <c r="O69" s="12"/>
    </row>
    <row r="70" spans="11:15" ht="11.25">
      <c r="K70" s="12"/>
      <c r="L70" s="12"/>
      <c r="M70" s="12"/>
      <c r="N70" s="12"/>
      <c r="O70" s="12"/>
    </row>
  </sheetData>
  <sheetProtection/>
  <printOptions horizontalCentered="1" verticalCentered="1"/>
  <pageMargins left="0" right="0" top="0.5" bottom="0.5" header="0.25" footer="0.25"/>
  <pageSetup fitToHeight="1" fitToWidth="1" horizontalDpi="300" verticalDpi="300" orientation="landscape" scale="74" r:id="rId1"/>
  <headerFooter alignWithMargins="0">
    <oddHeader>&amp;L10-29-07&amp;C&amp;F</oddHeader>
  </headerFooter>
</worksheet>
</file>

<file path=xl/worksheets/sheet2.xml><?xml version="1.0" encoding="utf-8"?>
<worksheet xmlns="http://schemas.openxmlformats.org/spreadsheetml/2006/main" xmlns:r="http://schemas.openxmlformats.org/officeDocument/2006/relationships">
  <sheetPr>
    <outlinePr summaryBelow="0"/>
    <pageSetUpPr fitToPage="1"/>
  </sheetPr>
  <dimension ref="A1:P66"/>
  <sheetViews>
    <sheetView zoomScalePageLayoutView="0" workbookViewId="0" topLeftCell="A1">
      <pane xSplit="1" ySplit="6" topLeftCell="B7" activePane="bottomRight" state="frozen"/>
      <selection pane="topLeft" activeCell="O2" sqref="O2"/>
      <selection pane="topRight" activeCell="O2" sqref="O2"/>
      <selection pane="bottomLeft" activeCell="O2" sqref="O2"/>
      <selection pane="bottomRight" activeCell="K61" sqref="K61"/>
    </sheetView>
  </sheetViews>
  <sheetFormatPr defaultColWidth="9.140625" defaultRowHeight="12.75" outlineLevelRow="1"/>
  <cols>
    <col min="1" max="1" width="19.00390625" style="15" customWidth="1"/>
    <col min="2" max="2" width="10.57421875" style="15" customWidth="1"/>
    <col min="3" max="3" width="10.8515625" style="15" customWidth="1"/>
    <col min="4" max="4" width="10.57421875" style="15" customWidth="1"/>
    <col min="5" max="5" width="10.28125" style="15" customWidth="1"/>
    <col min="6" max="6" width="9.7109375" style="15" customWidth="1"/>
    <col min="7" max="7" width="10.57421875" style="15" customWidth="1"/>
    <col min="8" max="9" width="9.140625" style="15" customWidth="1"/>
    <col min="10" max="11" width="10.140625" style="15" customWidth="1"/>
    <col min="12" max="13" width="9.140625" style="15" customWidth="1"/>
    <col min="14" max="14" width="9.57421875" style="15" bestFit="1" customWidth="1"/>
    <col min="15" max="15" width="10.421875" style="15" bestFit="1" customWidth="1"/>
    <col min="16" max="16" width="10.8515625" style="15" bestFit="1" customWidth="1"/>
    <col min="17" max="16384" width="9.140625" style="15" customWidth="1"/>
  </cols>
  <sheetData>
    <row r="1" spans="1:16" ht="11.25">
      <c r="A1" s="8" t="s">
        <v>74</v>
      </c>
      <c r="H1" s="13"/>
      <c r="P1" s="33" t="s">
        <v>43</v>
      </c>
    </row>
    <row r="2" ht="11.25">
      <c r="A2" s="14" t="s">
        <v>33</v>
      </c>
    </row>
    <row r="3" ht="11.25">
      <c r="P3" s="29" t="s">
        <v>34</v>
      </c>
    </row>
    <row r="4" spans="1:15" ht="11.25">
      <c r="A4" s="14" t="s">
        <v>40</v>
      </c>
      <c r="B4" s="16"/>
      <c r="C4" s="16"/>
      <c r="D4" s="16"/>
      <c r="E4" s="16"/>
      <c r="F4" s="16"/>
      <c r="G4" s="16"/>
      <c r="H4" s="16" t="s">
        <v>1</v>
      </c>
      <c r="I4" s="16"/>
      <c r="J4" s="16"/>
      <c r="K4" s="16"/>
      <c r="L4" s="16" t="s">
        <v>29</v>
      </c>
      <c r="M4" s="16"/>
      <c r="N4" s="38" t="s">
        <v>75</v>
      </c>
      <c r="O4" s="38" t="s">
        <v>72</v>
      </c>
    </row>
    <row r="5" spans="2:15" ht="11.25">
      <c r="B5" s="16" t="s">
        <v>2</v>
      </c>
      <c r="C5" s="16"/>
      <c r="D5" s="16" t="s">
        <v>3</v>
      </c>
      <c r="E5" s="16"/>
      <c r="F5" s="16"/>
      <c r="G5" s="16"/>
      <c r="H5" s="16" t="s">
        <v>4</v>
      </c>
      <c r="I5" s="16"/>
      <c r="J5" s="16" t="s">
        <v>5</v>
      </c>
      <c r="K5" s="16" t="s">
        <v>6</v>
      </c>
      <c r="L5" s="16" t="s">
        <v>30</v>
      </c>
      <c r="M5" s="16"/>
      <c r="N5" s="16" t="s">
        <v>48</v>
      </c>
      <c r="O5" s="16" t="s">
        <v>7</v>
      </c>
    </row>
    <row r="6" spans="2:15" ht="11.25">
      <c r="B6" s="17" t="s">
        <v>8</v>
      </c>
      <c r="C6" s="17" t="s">
        <v>9</v>
      </c>
      <c r="D6" s="17" t="s">
        <v>10</v>
      </c>
      <c r="E6" s="17" t="s">
        <v>11</v>
      </c>
      <c r="F6" s="17" t="s">
        <v>12</v>
      </c>
      <c r="G6" s="17" t="s">
        <v>13</v>
      </c>
      <c r="H6" s="17" t="s">
        <v>10</v>
      </c>
      <c r="I6" s="17" t="s">
        <v>14</v>
      </c>
      <c r="J6" s="17" t="s">
        <v>15</v>
      </c>
      <c r="K6" s="17" t="s">
        <v>16</v>
      </c>
      <c r="L6" s="17" t="s">
        <v>10</v>
      </c>
      <c r="M6" s="16" t="s">
        <v>26</v>
      </c>
      <c r="N6" s="31" t="s">
        <v>8</v>
      </c>
      <c r="O6" s="17" t="s">
        <v>8</v>
      </c>
    </row>
    <row r="7" spans="1:14" s="19" customFormat="1" ht="11.25">
      <c r="A7" s="5" t="s">
        <v>17</v>
      </c>
      <c r="B7" s="18"/>
      <c r="C7" s="18"/>
      <c r="D7" s="18"/>
      <c r="E7" s="18"/>
      <c r="F7" s="18"/>
      <c r="G7" s="18"/>
      <c r="H7" s="18"/>
      <c r="I7" s="18"/>
      <c r="J7" s="18"/>
      <c r="K7" s="18"/>
      <c r="L7" s="18"/>
      <c r="M7" s="18"/>
      <c r="N7" s="18"/>
    </row>
    <row r="8" spans="1:15" ht="11.25" customHeight="1">
      <c r="A8" s="8" t="s">
        <v>18</v>
      </c>
      <c r="B8" s="15">
        <f>SUM(B9:B14)-0.4</f>
        <v>6856585.33</v>
      </c>
      <c r="C8" s="15">
        <f>SUM(C9:C14)</f>
        <v>37024484.86</v>
      </c>
      <c r="D8" s="15">
        <f>SUM(D9:D14)</f>
        <v>17717372.240000002</v>
      </c>
      <c r="E8" s="15">
        <f aca="true" t="shared" si="0" ref="E8:K8">SUM(E9:E14)</f>
        <v>3382141.35</v>
      </c>
      <c r="F8" s="15">
        <f>SUM(F9:F14)</f>
        <v>224817.91</v>
      </c>
      <c r="G8" s="15">
        <f>SUM(G9:G14)</f>
        <v>8074250.909999999</v>
      </c>
      <c r="H8" s="15">
        <f>ROUND(SUM(H9:H14),0)</f>
        <v>1542618</v>
      </c>
      <c r="I8" s="15">
        <f t="shared" si="0"/>
        <v>5616.79</v>
      </c>
      <c r="J8" s="15">
        <f>SUM(J9:J14)</f>
        <v>6200367.85</v>
      </c>
      <c r="K8" s="15">
        <f t="shared" si="0"/>
        <v>0</v>
      </c>
      <c r="L8" s="15">
        <f>ROUND(SUM(L9:L14),0)</f>
        <v>3199952</v>
      </c>
      <c r="M8" s="15">
        <f>ROUND(SUM(M9:M14),0)</f>
        <v>298611</v>
      </c>
      <c r="N8" s="15">
        <f>ROUND(SUM(N9:N14),0)</f>
        <v>84526818</v>
      </c>
      <c r="O8" s="15">
        <f>ROUND(SUM(O9:O14),0)</f>
        <v>80252022</v>
      </c>
    </row>
    <row r="9" spans="1:15" s="19" customFormat="1" ht="11.25" customHeight="1" outlineLevel="1">
      <c r="A9" s="19" t="s">
        <v>19</v>
      </c>
      <c r="B9" s="19">
        <v>6568130.69</v>
      </c>
      <c r="C9" s="19">
        <v>28144790.15</v>
      </c>
      <c r="D9" s="19">
        <v>16147987.05</v>
      </c>
      <c r="E9" s="19">
        <v>3309907.69</v>
      </c>
      <c r="F9" s="19">
        <v>212593.17</v>
      </c>
      <c r="G9" s="19">
        <v>6664602.12</v>
      </c>
      <c r="H9" s="19">
        <v>1147541.51</v>
      </c>
      <c r="I9" s="19">
        <v>5616.79</v>
      </c>
      <c r="J9" s="19">
        <v>5464882.3</v>
      </c>
      <c r="L9" s="19">
        <v>2751288.9</v>
      </c>
      <c r="M9" s="19">
        <v>281281.46</v>
      </c>
      <c r="N9" s="19">
        <f aca="true" t="shared" si="1" ref="N9:N14">SUM(B9:M9)</f>
        <v>70698621.83</v>
      </c>
      <c r="O9" s="19">
        <v>65784331</v>
      </c>
    </row>
    <row r="10" spans="1:15" s="19" customFormat="1" ht="11.25" customHeight="1" outlineLevel="1">
      <c r="A10" s="19" t="s">
        <v>20</v>
      </c>
      <c r="B10" s="19">
        <v>25000</v>
      </c>
      <c r="C10" s="19">
        <v>591042.76</v>
      </c>
      <c r="D10" s="19">
        <v>489107.36</v>
      </c>
      <c r="G10" s="19">
        <v>399129.47</v>
      </c>
      <c r="H10" s="19">
        <v>19744.95</v>
      </c>
      <c r="J10" s="19">
        <v>343154.66</v>
      </c>
      <c r="L10" s="19">
        <v>303188.37</v>
      </c>
      <c r="M10" s="19">
        <v>10464.41</v>
      </c>
      <c r="N10" s="19">
        <f t="shared" si="1"/>
        <v>2180831.98</v>
      </c>
      <c r="O10" s="19">
        <v>1772224</v>
      </c>
    </row>
    <row r="11" spans="1:15" ht="11.25" outlineLevel="1">
      <c r="A11" s="15" t="s">
        <v>21</v>
      </c>
      <c r="C11" s="19">
        <v>5538771.95</v>
      </c>
      <c r="N11" s="19">
        <f t="shared" si="1"/>
        <v>5538771.95</v>
      </c>
      <c r="O11" s="15">
        <v>6268115</v>
      </c>
    </row>
    <row r="12" spans="1:15" ht="11.25" outlineLevel="1">
      <c r="A12" s="15" t="s">
        <v>35</v>
      </c>
      <c r="C12" s="20">
        <v>5558.52</v>
      </c>
      <c r="D12" s="15">
        <v>34566.18</v>
      </c>
      <c r="G12" s="15">
        <v>111597.04</v>
      </c>
      <c r="H12" s="20"/>
      <c r="J12" s="20">
        <v>824.72</v>
      </c>
      <c r="N12" s="19">
        <f t="shared" si="1"/>
        <v>152546.46</v>
      </c>
      <c r="O12" s="15">
        <v>164646</v>
      </c>
    </row>
    <row r="13" spans="1:15" ht="11.25" outlineLevel="1">
      <c r="A13" s="15" t="s">
        <v>36</v>
      </c>
      <c r="B13" s="15">
        <f>238359.91+13645.13</f>
        <v>252005.04</v>
      </c>
      <c r="C13" s="15">
        <f>2474917.27-1293.37</f>
        <v>2473623.9</v>
      </c>
      <c r="D13" s="15">
        <v>821700.48</v>
      </c>
      <c r="E13" s="15">
        <v>72233.66</v>
      </c>
      <c r="F13" s="15">
        <v>12224.74</v>
      </c>
      <c r="G13" s="15">
        <v>716120.98</v>
      </c>
      <c r="H13" s="15">
        <v>366288.33</v>
      </c>
      <c r="J13" s="15">
        <v>234341.34</v>
      </c>
      <c r="L13" s="15">
        <v>61794.68</v>
      </c>
      <c r="N13" s="19">
        <f t="shared" si="1"/>
        <v>5010333.15</v>
      </c>
      <c r="O13" s="15">
        <v>5486170</v>
      </c>
    </row>
    <row r="14" spans="1:15" ht="11.25" outlineLevel="1">
      <c r="A14" s="15" t="s">
        <v>37</v>
      </c>
      <c r="B14" s="15">
        <v>11450</v>
      </c>
      <c r="C14" s="15">
        <v>270697.58</v>
      </c>
      <c r="D14" s="15">
        <v>224011.17</v>
      </c>
      <c r="G14" s="15">
        <v>182801.3</v>
      </c>
      <c r="H14" s="15">
        <v>9043.19</v>
      </c>
      <c r="J14" s="15">
        <v>157164.83</v>
      </c>
      <c r="L14" s="15">
        <v>83679.99</v>
      </c>
      <c r="M14" s="15">
        <v>6864.65</v>
      </c>
      <c r="N14" s="19">
        <f t="shared" si="1"/>
        <v>945712.71</v>
      </c>
      <c r="O14" s="15">
        <v>776536</v>
      </c>
    </row>
    <row r="16" spans="1:15" ht="11.25">
      <c r="A16" s="14" t="s">
        <v>25</v>
      </c>
      <c r="B16" s="15">
        <f aca="true" t="shared" si="2" ref="B16:O16">SUM(B17:B19)</f>
        <v>0</v>
      </c>
      <c r="C16" s="15">
        <f t="shared" si="2"/>
        <v>1697875</v>
      </c>
      <c r="D16" s="15">
        <f t="shared" si="2"/>
        <v>2089201.43</v>
      </c>
      <c r="E16" s="15">
        <f t="shared" si="2"/>
        <v>66722.11</v>
      </c>
      <c r="F16" s="15">
        <f t="shared" si="2"/>
        <v>20921.46</v>
      </c>
      <c r="G16" s="15">
        <f t="shared" si="2"/>
        <v>1615332.95</v>
      </c>
      <c r="H16" s="15">
        <f t="shared" si="2"/>
        <v>499900.54</v>
      </c>
      <c r="I16" s="15">
        <f t="shared" si="2"/>
        <v>0</v>
      </c>
      <c r="J16" s="15">
        <f t="shared" si="2"/>
        <v>905030.33</v>
      </c>
      <c r="K16" s="15">
        <f t="shared" si="2"/>
        <v>0</v>
      </c>
      <c r="L16" s="15">
        <f t="shared" si="2"/>
        <v>255644.25</v>
      </c>
      <c r="M16" s="15">
        <f t="shared" si="2"/>
        <v>0</v>
      </c>
      <c r="N16" s="15">
        <f t="shared" si="2"/>
        <v>7150628.07</v>
      </c>
      <c r="O16" s="15">
        <f t="shared" si="2"/>
        <v>7123345</v>
      </c>
    </row>
    <row r="17" spans="1:16" ht="11.25" outlineLevel="1">
      <c r="A17" s="15" t="s">
        <v>22</v>
      </c>
      <c r="C17" s="15">
        <v>1545597.18</v>
      </c>
      <c r="D17" s="15">
        <v>1673396.77</v>
      </c>
      <c r="E17" s="15">
        <v>52437.61</v>
      </c>
      <c r="F17" s="15">
        <v>19108.1</v>
      </c>
      <c r="G17" s="15">
        <v>1331182.64</v>
      </c>
      <c r="H17" s="15">
        <v>466085.36</v>
      </c>
      <c r="J17" s="15">
        <v>691349.12</v>
      </c>
      <c r="L17" s="15">
        <v>207954.82</v>
      </c>
      <c r="N17" s="19">
        <f>SUM(B17:M17)</f>
        <v>5987111.600000001</v>
      </c>
      <c r="O17" s="15">
        <v>6184859</v>
      </c>
      <c r="P17" s="15" t="s">
        <v>34</v>
      </c>
    </row>
    <row r="18" spans="1:15" ht="11.25" outlineLevel="1">
      <c r="A18" s="15" t="s">
        <v>47</v>
      </c>
      <c r="N18" s="19">
        <f>SUM(B18:M18)</f>
        <v>0</v>
      </c>
      <c r="O18" s="15">
        <v>0</v>
      </c>
    </row>
    <row r="19" spans="1:15" ht="11.25" outlineLevel="1">
      <c r="A19" s="15" t="s">
        <v>38</v>
      </c>
      <c r="C19" s="15">
        <f>152277.83-0.01</f>
        <v>152277.81999999998</v>
      </c>
      <c r="D19" s="15">
        <v>415804.66</v>
      </c>
      <c r="E19" s="15">
        <v>14284.5</v>
      </c>
      <c r="F19" s="15">
        <v>1813.36</v>
      </c>
      <c r="G19" s="15">
        <v>284150.31</v>
      </c>
      <c r="H19" s="15">
        <v>33815.18</v>
      </c>
      <c r="J19" s="15">
        <v>213681.21</v>
      </c>
      <c r="L19" s="15">
        <v>47689.43</v>
      </c>
      <c r="N19" s="19">
        <f>SUM(B19:M19)</f>
        <v>1163516.47</v>
      </c>
      <c r="O19" s="15">
        <v>938486</v>
      </c>
    </row>
    <row r="20" ht="11.25">
      <c r="N20" s="19"/>
    </row>
    <row r="21" spans="1:15" ht="11.25">
      <c r="A21" s="14" t="s">
        <v>23</v>
      </c>
      <c r="B21" s="15">
        <f aca="true" t="shared" si="3" ref="B21:O21">SUM(B22:B24)</f>
        <v>3570775.75</v>
      </c>
      <c r="C21" s="15">
        <f t="shared" si="3"/>
        <v>10598470.649999999</v>
      </c>
      <c r="D21" s="15">
        <f t="shared" si="3"/>
        <v>7599725.4</v>
      </c>
      <c r="E21" s="15">
        <f t="shared" si="3"/>
        <v>0</v>
      </c>
      <c r="F21" s="15">
        <f t="shared" si="3"/>
        <v>29156.39</v>
      </c>
      <c r="G21" s="15">
        <f t="shared" si="3"/>
        <v>9139116.9</v>
      </c>
      <c r="H21" s="15">
        <f t="shared" si="3"/>
        <v>1252039.8</v>
      </c>
      <c r="I21" s="15">
        <f t="shared" si="3"/>
        <v>0</v>
      </c>
      <c r="J21" s="15">
        <f t="shared" si="3"/>
        <v>4826372.33</v>
      </c>
      <c r="K21" s="15">
        <f t="shared" si="3"/>
        <v>0</v>
      </c>
      <c r="L21" s="15">
        <f t="shared" si="3"/>
        <v>29065.629999999997</v>
      </c>
      <c r="M21" s="15">
        <f t="shared" si="3"/>
        <v>0</v>
      </c>
      <c r="N21" s="15">
        <f t="shared" si="3"/>
        <v>37044722.85</v>
      </c>
      <c r="O21" s="15">
        <f t="shared" si="3"/>
        <v>40280891</v>
      </c>
    </row>
    <row r="22" spans="1:15" ht="11.25" outlineLevel="1">
      <c r="A22" s="15" t="s">
        <v>22</v>
      </c>
      <c r="B22" s="15">
        <v>2788174.96</v>
      </c>
      <c r="C22" s="2">
        <f>9031754.37-60293</f>
        <v>8971461.37</v>
      </c>
      <c r="D22" s="15">
        <v>5862657.17</v>
      </c>
      <c r="F22" s="15">
        <v>21417.67</v>
      </c>
      <c r="G22" s="15">
        <v>7286705.78</v>
      </c>
      <c r="H22" s="15">
        <v>1015427.43</v>
      </c>
      <c r="J22" s="15">
        <v>3653784.65</v>
      </c>
      <c r="L22" s="15">
        <v>28726.21</v>
      </c>
      <c r="N22" s="19">
        <f>SUM(B22:M22)</f>
        <v>29628355.240000002</v>
      </c>
      <c r="O22" s="15">
        <v>30576569</v>
      </c>
    </row>
    <row r="23" spans="1:15" ht="11.25" outlineLevel="1">
      <c r="A23" s="15" t="s">
        <v>46</v>
      </c>
      <c r="B23" s="15">
        <f>350317.02-47235.42</f>
        <v>303081.60000000003</v>
      </c>
      <c r="N23" s="19">
        <f>SUM(B23:M23)</f>
        <v>303081.60000000003</v>
      </c>
      <c r="O23" s="15">
        <v>2154892</v>
      </c>
    </row>
    <row r="24" spans="1:15" ht="11.25" outlineLevel="1">
      <c r="A24" s="15" t="s">
        <v>38</v>
      </c>
      <c r="B24" s="15">
        <f>327474.55+152044.64</f>
        <v>479519.19</v>
      </c>
      <c r="C24" s="15">
        <v>1627009.28</v>
      </c>
      <c r="D24" s="15">
        <v>1737068.23</v>
      </c>
      <c r="F24" s="15">
        <v>7738.72</v>
      </c>
      <c r="G24" s="15">
        <v>1852411.12</v>
      </c>
      <c r="H24" s="15">
        <v>236612.37</v>
      </c>
      <c r="J24" s="15">
        <v>1172587.68</v>
      </c>
      <c r="L24" s="15">
        <v>339.42</v>
      </c>
      <c r="N24" s="19">
        <f>SUM(B24:M24)</f>
        <v>7113286.010000001</v>
      </c>
      <c r="O24" s="15">
        <v>7549430</v>
      </c>
    </row>
    <row r="25" ht="11.25">
      <c r="O25" s="15" t="s">
        <v>34</v>
      </c>
    </row>
    <row r="26" spans="1:15" ht="11.25">
      <c r="A26" s="14" t="s">
        <v>24</v>
      </c>
      <c r="B26" s="15">
        <f aca="true" t="shared" si="4" ref="B26:O26">SUM(B27:B29)</f>
        <v>239650.57</v>
      </c>
      <c r="C26" s="15">
        <f t="shared" si="4"/>
        <v>1575473.3399999999</v>
      </c>
      <c r="D26" s="15">
        <f t="shared" si="4"/>
        <v>835239.72</v>
      </c>
      <c r="E26" s="15">
        <f t="shared" si="4"/>
        <v>107840.43</v>
      </c>
      <c r="F26" s="15">
        <f t="shared" si="4"/>
        <v>12361.9</v>
      </c>
      <c r="G26" s="15">
        <f t="shared" si="4"/>
        <v>512930.26</v>
      </c>
      <c r="H26" s="15">
        <f t="shared" si="4"/>
        <v>712729.6</v>
      </c>
      <c r="I26" s="15">
        <f t="shared" si="4"/>
        <v>-14.59</v>
      </c>
      <c r="J26" s="15">
        <f t="shared" si="4"/>
        <v>296629.92000000004</v>
      </c>
      <c r="K26" s="15">
        <f t="shared" si="4"/>
        <v>692.75</v>
      </c>
      <c r="L26" s="15">
        <f t="shared" si="4"/>
        <v>101297.15</v>
      </c>
      <c r="M26" s="15">
        <f t="shared" si="4"/>
        <v>0</v>
      </c>
      <c r="N26" s="15">
        <f t="shared" si="4"/>
        <v>4394831.05</v>
      </c>
      <c r="O26" s="15">
        <f t="shared" si="4"/>
        <v>5282492</v>
      </c>
    </row>
    <row r="27" spans="1:15" ht="11.25" outlineLevel="1">
      <c r="A27" s="15" t="s">
        <v>22</v>
      </c>
      <c r="B27" s="15">
        <f>242636.79+3.18</f>
        <v>242639.97</v>
      </c>
      <c r="C27" s="15">
        <f>1576911.95-1438.61</f>
        <v>1575473.3399999999</v>
      </c>
      <c r="D27" s="15">
        <v>802752.12</v>
      </c>
      <c r="E27" s="15">
        <v>107840.43</v>
      </c>
      <c r="F27" s="15">
        <v>11764.24</v>
      </c>
      <c r="G27" s="15">
        <v>512930.26</v>
      </c>
      <c r="H27" s="15">
        <v>637003.23</v>
      </c>
      <c r="I27" s="15">
        <v>-14.59</v>
      </c>
      <c r="J27" s="15">
        <f>283119.63+0.83</f>
        <v>283120.46</v>
      </c>
      <c r="K27" s="15">
        <f>-397.02+1089.77</f>
        <v>692.75</v>
      </c>
      <c r="L27" s="15">
        <f>102895.72-1598.57</f>
        <v>101297.15</v>
      </c>
      <c r="N27" s="19">
        <f>SUM(B27:M27)</f>
        <v>4275499.36</v>
      </c>
      <c r="O27" s="15">
        <v>5090934</v>
      </c>
    </row>
    <row r="28" spans="1:15" ht="11.25" outlineLevel="1">
      <c r="A28" s="15" t="s">
        <v>46</v>
      </c>
      <c r="B28" s="15">
        <v>-2989.4</v>
      </c>
      <c r="N28" s="19">
        <f>SUM(B28:M28)</f>
        <v>-2989.4</v>
      </c>
      <c r="O28" s="15">
        <v>42357</v>
      </c>
    </row>
    <row r="29" spans="1:15" ht="11.25" outlineLevel="1">
      <c r="A29" s="15" t="s">
        <v>38</v>
      </c>
      <c r="D29" s="15">
        <v>32487.6</v>
      </c>
      <c r="F29" s="15">
        <v>597.66</v>
      </c>
      <c r="H29" s="15">
        <v>75726.37</v>
      </c>
      <c r="J29" s="15">
        <v>13509.46</v>
      </c>
      <c r="L29" s="19"/>
      <c r="N29" s="19">
        <f>SUM(B29:M29)</f>
        <v>122321.09</v>
      </c>
      <c r="O29" s="15">
        <v>149201</v>
      </c>
    </row>
    <row r="31" spans="1:15" ht="11.25">
      <c r="A31" s="14" t="s">
        <v>27</v>
      </c>
      <c r="B31" s="15">
        <v>-15050.33</v>
      </c>
      <c r="C31" s="15">
        <f>-745.78+40558.03+88752.7+362004.19+548356.34</f>
        <v>1038925.48</v>
      </c>
      <c r="N31" s="19">
        <f>SUM(B31:M31)</f>
        <v>1023875.15</v>
      </c>
      <c r="O31" s="15">
        <v>4227440</v>
      </c>
    </row>
    <row r="32" spans="1:14" ht="11.25">
      <c r="A32" s="14"/>
      <c r="N32" s="19"/>
    </row>
    <row r="33" spans="1:15" s="42" customFormat="1" ht="11.25">
      <c r="A33" s="39" t="s">
        <v>73</v>
      </c>
      <c r="B33" s="42">
        <f aca="true" t="shared" si="5" ref="B33:L33">((B19+B24+B29)/(B17+B18+B22+B23+B27+B28))</f>
        <v>0.1439605402627962</v>
      </c>
      <c r="C33" s="42">
        <f t="shared" si="5"/>
        <v>0.14713933493707745</v>
      </c>
      <c r="D33" s="42">
        <f t="shared" si="5"/>
        <v>0.2620711495477568</v>
      </c>
      <c r="E33" s="42">
        <f t="shared" si="5"/>
        <v>0.08912325107045234</v>
      </c>
      <c r="F33" s="42">
        <f t="shared" si="5"/>
        <v>0.19410476303217386</v>
      </c>
      <c r="G33" s="42">
        <f t="shared" si="5"/>
        <v>0.23399450858441537</v>
      </c>
      <c r="H33" s="42">
        <f t="shared" si="5"/>
        <v>0.1633945255698373</v>
      </c>
      <c r="I33" s="42">
        <f t="shared" si="5"/>
        <v>0</v>
      </c>
      <c r="J33" s="42">
        <f t="shared" si="5"/>
        <v>0.3024419749733584</v>
      </c>
      <c r="K33" s="42">
        <f t="shared" si="5"/>
        <v>0</v>
      </c>
      <c r="L33" s="42">
        <f t="shared" si="5"/>
        <v>0.1421063631977662</v>
      </c>
      <c r="N33" s="42">
        <f>((N19+N24+N29)/(N17+N18+N22+N23+N27+N28))</f>
        <v>0.20897990509252176</v>
      </c>
      <c r="O33" s="42">
        <f>((O19+O24+O29)/(O17+O18+O22+O23+O27+O28))</f>
        <v>0.19607703232611975</v>
      </c>
    </row>
    <row r="34" spans="2:15" ht="11.25">
      <c r="B34" s="21"/>
      <c r="C34" s="21"/>
      <c r="D34" s="21"/>
      <c r="E34" s="21"/>
      <c r="F34" s="21"/>
      <c r="G34" s="21"/>
      <c r="H34" s="21"/>
      <c r="I34" s="21"/>
      <c r="J34" s="21"/>
      <c r="K34" s="21"/>
      <c r="L34" s="21"/>
      <c r="M34" s="21"/>
      <c r="N34" s="21"/>
      <c r="O34" s="21"/>
    </row>
    <row r="35" spans="1:15" ht="12" thickBot="1">
      <c r="A35" s="8" t="s">
        <v>7</v>
      </c>
      <c r="B35" s="22">
        <f aca="true" t="shared" si="6" ref="B35:O35">+B31+B26+B21+B16+B8</f>
        <v>10651961.32</v>
      </c>
      <c r="C35" s="22">
        <f t="shared" si="6"/>
        <v>51935229.33</v>
      </c>
      <c r="D35" s="22">
        <f t="shared" si="6"/>
        <v>28241538.790000003</v>
      </c>
      <c r="E35" s="22">
        <f t="shared" si="6"/>
        <v>3556703.89</v>
      </c>
      <c r="F35" s="22">
        <f t="shared" si="6"/>
        <v>287257.66000000003</v>
      </c>
      <c r="G35" s="22">
        <f t="shared" si="6"/>
        <v>19341631.02</v>
      </c>
      <c r="H35" s="22">
        <f t="shared" si="6"/>
        <v>4007287.94</v>
      </c>
      <c r="I35" s="22">
        <f t="shared" si="6"/>
        <v>5602.2</v>
      </c>
      <c r="J35" s="22">
        <f t="shared" si="6"/>
        <v>12228400.43</v>
      </c>
      <c r="K35" s="22">
        <f t="shared" si="6"/>
        <v>692.75</v>
      </c>
      <c r="L35" s="22">
        <f t="shared" si="6"/>
        <v>3585959.0300000003</v>
      </c>
      <c r="M35" s="22">
        <f t="shared" si="6"/>
        <v>298611</v>
      </c>
      <c r="N35" s="22">
        <f t="shared" si="6"/>
        <v>134140875.12</v>
      </c>
      <c r="O35" s="22">
        <f t="shared" si="6"/>
        <v>137166190</v>
      </c>
    </row>
    <row r="36" ht="12" thickTop="1">
      <c r="F36" s="24" t="s">
        <v>34</v>
      </c>
    </row>
    <row r="37" spans="1:4" ht="11.25">
      <c r="A37" s="8"/>
      <c r="D37" s="25"/>
    </row>
    <row r="40" spans="2:10" ht="11.25">
      <c r="B40" s="23"/>
      <c r="C40" s="23"/>
      <c r="D40" s="23"/>
      <c r="E40" s="23"/>
      <c r="F40" s="23"/>
      <c r="G40" s="23"/>
      <c r="H40" s="23"/>
      <c r="I40" s="23"/>
      <c r="J40" s="23"/>
    </row>
    <row r="41" spans="2:10" ht="11.25">
      <c r="B41" s="27"/>
      <c r="C41" s="27"/>
      <c r="D41" s="12"/>
      <c r="E41" s="23"/>
      <c r="F41" s="23"/>
      <c r="G41" s="23"/>
      <c r="H41" s="23"/>
      <c r="I41" s="23" t="s">
        <v>34</v>
      </c>
      <c r="J41" s="23"/>
    </row>
    <row r="42" spans="2:10" ht="11.25">
      <c r="B42" s="23"/>
      <c r="C42" s="23"/>
      <c r="D42" s="23"/>
      <c r="E42" s="23"/>
      <c r="F42" s="23"/>
      <c r="G42" s="23"/>
      <c r="H42" s="23"/>
      <c r="I42" s="23"/>
      <c r="J42" s="23"/>
    </row>
    <row r="43" spans="2:10" ht="11.25">
      <c r="B43" s="23"/>
      <c r="C43" s="23"/>
      <c r="D43" s="23"/>
      <c r="E43" s="23"/>
      <c r="F43" s="23"/>
      <c r="G43" s="23"/>
      <c r="H43" s="23"/>
      <c r="I43" s="23"/>
      <c r="J43" s="23"/>
    </row>
    <row r="44" spans="2:10" ht="11.25">
      <c r="B44" s="23"/>
      <c r="C44" s="23"/>
      <c r="D44" s="23"/>
      <c r="E44" s="23"/>
      <c r="F44" s="23"/>
      <c r="G44" s="23"/>
      <c r="H44" s="23"/>
      <c r="I44" s="23"/>
      <c r="J44" s="23"/>
    </row>
    <row r="45" spans="12:16" ht="11.25">
      <c r="L45" s="23"/>
      <c r="M45" s="23"/>
      <c r="N45" s="23"/>
      <c r="O45" s="23"/>
      <c r="P45" s="23"/>
    </row>
    <row r="46" spans="12:16" ht="11.25">
      <c r="L46" s="23"/>
      <c r="M46" s="23"/>
      <c r="N46" s="23"/>
      <c r="O46" s="23"/>
      <c r="P46" s="23"/>
    </row>
    <row r="47" spans="11:16" ht="11.25">
      <c r="K47" s="8" t="s">
        <v>62</v>
      </c>
      <c r="O47" s="28" t="s">
        <v>50</v>
      </c>
      <c r="P47" s="28" t="s">
        <v>51</v>
      </c>
    </row>
    <row r="48" spans="11:16" ht="11.25">
      <c r="K48" s="8"/>
      <c r="L48" s="2"/>
      <c r="M48" s="2"/>
      <c r="N48" s="2"/>
      <c r="O48" s="28" t="s">
        <v>52</v>
      </c>
      <c r="P48" s="28" t="s">
        <v>53</v>
      </c>
    </row>
    <row r="49" spans="11:14" ht="11.25">
      <c r="K49" s="2"/>
      <c r="L49" s="2"/>
      <c r="M49" s="2"/>
      <c r="N49" s="2"/>
    </row>
    <row r="50" spans="11:16" ht="11.25">
      <c r="K50" s="2" t="s">
        <v>63</v>
      </c>
      <c r="L50" s="12"/>
      <c r="M50" s="12"/>
      <c r="N50" s="12"/>
      <c r="O50" s="19">
        <f>N9+N10+N11+N31-O59</f>
        <v>79440723.75000001</v>
      </c>
      <c r="P50" s="19">
        <v>81334210.74</v>
      </c>
    </row>
    <row r="51" spans="11:16" ht="11.25">
      <c r="K51" s="2" t="s">
        <v>64</v>
      </c>
      <c r="L51" s="12"/>
      <c r="M51" s="12"/>
      <c r="N51" s="12"/>
      <c r="O51" s="36">
        <f>N17+N18+N22+N23+N27+N28</f>
        <v>40191058.400000006</v>
      </c>
      <c r="P51" s="21">
        <v>40191058.98</v>
      </c>
    </row>
    <row r="52" spans="11:14" ht="11.25">
      <c r="K52" s="2"/>
      <c r="L52" s="12"/>
      <c r="M52" s="12"/>
      <c r="N52" s="12"/>
    </row>
    <row r="53" spans="11:16" ht="12" thickBot="1">
      <c r="K53" s="2" t="s">
        <v>65</v>
      </c>
      <c r="L53" s="12"/>
      <c r="M53" s="12"/>
      <c r="N53" s="12"/>
      <c r="O53" s="22">
        <f>+O50+O51</f>
        <v>119631782.15000002</v>
      </c>
      <c r="P53" s="22">
        <f>+P50+P51</f>
        <v>121525269.72</v>
      </c>
    </row>
    <row r="54" spans="11:14" ht="12" thickTop="1">
      <c r="K54" s="2"/>
      <c r="L54" s="12"/>
      <c r="M54" s="12"/>
      <c r="N54" s="12"/>
    </row>
    <row r="55" spans="11:16" ht="11.25">
      <c r="K55" s="15" t="s">
        <v>35</v>
      </c>
      <c r="L55" s="2"/>
      <c r="M55" s="2"/>
      <c r="N55" s="2"/>
      <c r="O55" s="19">
        <f>N12</f>
        <v>152546.46</v>
      </c>
      <c r="P55" s="15">
        <f>N12</f>
        <v>152546.46</v>
      </c>
    </row>
    <row r="56" spans="11:16" ht="11.25">
      <c r="K56" s="15" t="s">
        <v>36</v>
      </c>
      <c r="L56" s="2"/>
      <c r="M56" s="2"/>
      <c r="N56" s="2"/>
      <c r="O56" s="30">
        <f>N13</f>
        <v>5010333.15</v>
      </c>
      <c r="P56" s="23">
        <f>N13</f>
        <v>5010333.15</v>
      </c>
    </row>
    <row r="57" spans="11:16" ht="11.25">
      <c r="K57" s="15" t="s">
        <v>38</v>
      </c>
      <c r="L57" s="2"/>
      <c r="M57" s="2"/>
      <c r="N57" s="2"/>
      <c r="O57" s="30">
        <f>N19+N24+N29</f>
        <v>8399123.57</v>
      </c>
      <c r="P57" s="23">
        <f>N19+N24+N29</f>
        <v>8399123.57</v>
      </c>
    </row>
    <row r="58" spans="11:16" ht="11.25">
      <c r="K58" s="15" t="s">
        <v>37</v>
      </c>
      <c r="L58" s="12"/>
      <c r="M58" s="12"/>
      <c r="N58" s="12"/>
      <c r="O58" s="30">
        <f>N14</f>
        <v>945712.71</v>
      </c>
      <c r="P58" s="23">
        <f>N14</f>
        <v>945712.71</v>
      </c>
    </row>
    <row r="59" spans="11:16" ht="11.25">
      <c r="K59" s="2" t="s">
        <v>66</v>
      </c>
      <c r="L59" s="12"/>
      <c r="M59" s="12"/>
      <c r="N59" s="12"/>
      <c r="O59" s="30">
        <f>125.11+1252.05</f>
        <v>1377.1599999999999</v>
      </c>
      <c r="P59" s="30">
        <f>125.11+1252.05</f>
        <v>1377.1599999999999</v>
      </c>
    </row>
    <row r="60" spans="11:16" ht="11.25">
      <c r="K60" s="2" t="s">
        <v>76</v>
      </c>
      <c r="L60" s="12"/>
      <c r="M60" s="12"/>
      <c r="N60" s="12"/>
      <c r="O60" s="30"/>
      <c r="P60" s="30">
        <v>6482.36</v>
      </c>
    </row>
    <row r="61" spans="11:16" ht="11.25">
      <c r="K61" s="2" t="s">
        <v>77</v>
      </c>
      <c r="L61" s="12"/>
      <c r="M61" s="12"/>
      <c r="N61" s="12"/>
      <c r="O61" s="30"/>
      <c r="P61" s="30">
        <v>148286</v>
      </c>
    </row>
    <row r="62" spans="11:16" ht="11.25">
      <c r="K62" s="2" t="s">
        <v>71</v>
      </c>
      <c r="L62" s="12"/>
      <c r="M62" s="12"/>
      <c r="N62" s="12"/>
      <c r="O62" s="30"/>
      <c r="P62" s="30"/>
    </row>
    <row r="63" spans="11:16" ht="11.25">
      <c r="K63" s="2" t="s">
        <v>60</v>
      </c>
      <c r="L63" s="12"/>
      <c r="M63" s="12"/>
      <c r="N63" s="12"/>
      <c r="O63" s="21"/>
      <c r="P63" s="21">
        <v>-2048255.73</v>
      </c>
    </row>
    <row r="64" spans="11:14" ht="11.25">
      <c r="K64" s="2"/>
      <c r="L64" s="12"/>
      <c r="M64" s="12"/>
      <c r="N64" s="12"/>
    </row>
    <row r="65" spans="11:16" ht="12" thickBot="1">
      <c r="K65" s="2" t="s">
        <v>7</v>
      </c>
      <c r="L65" s="12"/>
      <c r="M65" s="12"/>
      <c r="N65" s="12"/>
      <c r="O65" s="22">
        <f>SUM(O53:O63)</f>
        <v>134140875.2</v>
      </c>
      <c r="P65" s="22">
        <f>SUM(P53:P63)</f>
        <v>134140875.40000002</v>
      </c>
    </row>
    <row r="66" spans="12:16" ht="12" thickTop="1">
      <c r="L66" s="23"/>
      <c r="M66" s="23"/>
      <c r="N66" s="23"/>
      <c r="O66" s="15">
        <f>N35-O65</f>
        <v>-0.07999999821186066</v>
      </c>
      <c r="P66" s="15">
        <f>O65-P65</f>
        <v>-0.20000001788139343</v>
      </c>
    </row>
  </sheetData>
  <sheetProtection/>
  <printOptions horizontalCentered="1" verticalCentered="1"/>
  <pageMargins left="0" right="0" top="0.5" bottom="0.5" header="0.25" footer="0.25"/>
  <pageSetup fitToHeight="1" fitToWidth="1" horizontalDpi="300" verticalDpi="300" orientation="landscape" scale="77" r:id="rId1"/>
  <headerFooter alignWithMargins="0">
    <oddHeader>&amp;L10-29-07&amp;C&amp;F</oddHeader>
  </headerFooter>
</worksheet>
</file>

<file path=xl/worksheets/sheet3.xml><?xml version="1.0" encoding="utf-8"?>
<worksheet xmlns="http://schemas.openxmlformats.org/spreadsheetml/2006/main" xmlns:r="http://schemas.openxmlformats.org/officeDocument/2006/relationships">
  <sheetPr>
    <outlinePr summaryBelow="0"/>
    <pageSetUpPr fitToPage="1"/>
  </sheetPr>
  <dimension ref="A1:Q68"/>
  <sheetViews>
    <sheetView zoomScalePageLayoutView="0" workbookViewId="0" topLeftCell="A1">
      <pane xSplit="1" ySplit="6" topLeftCell="B7" activePane="bottomRight" state="frozen"/>
      <selection pane="topLeft" activeCell="O2" sqref="O2"/>
      <selection pane="topRight" activeCell="O2" sqref="O2"/>
      <selection pane="bottomLeft" activeCell="O2" sqref="O2"/>
      <selection pane="bottomRight" activeCell="K61" sqref="K61:O61"/>
    </sheetView>
  </sheetViews>
  <sheetFormatPr defaultColWidth="9.140625" defaultRowHeight="12.75" outlineLevelRow="1"/>
  <cols>
    <col min="1" max="1" width="18.8515625" style="15" customWidth="1"/>
    <col min="2" max="2" width="11.28125" style="15" customWidth="1"/>
    <col min="3" max="3" width="9.421875" style="15" customWidth="1"/>
    <col min="4" max="4" width="10.00390625" style="15" customWidth="1"/>
    <col min="5" max="5" width="10.28125" style="15" customWidth="1"/>
    <col min="6" max="6" width="11.00390625" style="15" customWidth="1"/>
    <col min="7" max="7" width="10.57421875" style="15" customWidth="1"/>
    <col min="8" max="9" width="9.140625" style="15" customWidth="1"/>
    <col min="10" max="11" width="10.140625" style="15" customWidth="1"/>
    <col min="12" max="14" width="10.00390625" style="15" customWidth="1"/>
    <col min="15" max="15" width="8.8515625" style="15" bestFit="1" customWidth="1"/>
    <col min="16" max="16384" width="9.140625" style="15" customWidth="1"/>
  </cols>
  <sheetData>
    <row r="1" spans="1:15" ht="11.25">
      <c r="A1" s="8" t="s">
        <v>74</v>
      </c>
      <c r="H1" s="13"/>
      <c r="O1" s="33" t="s">
        <v>44</v>
      </c>
    </row>
    <row r="2" ht="11.25">
      <c r="A2" s="14" t="s">
        <v>32</v>
      </c>
    </row>
    <row r="3" ht="11.25">
      <c r="O3" s="29" t="s">
        <v>34</v>
      </c>
    </row>
    <row r="4" spans="1:15" ht="11.25">
      <c r="A4" s="14" t="s">
        <v>41</v>
      </c>
      <c r="B4" s="16"/>
      <c r="C4" s="16"/>
      <c r="D4" s="16"/>
      <c r="E4" s="16"/>
      <c r="F4" s="16"/>
      <c r="G4" s="16"/>
      <c r="H4" s="16" t="s">
        <v>1</v>
      </c>
      <c r="I4" s="16"/>
      <c r="J4" s="16"/>
      <c r="K4" s="16"/>
      <c r="L4" s="16" t="s">
        <v>29</v>
      </c>
      <c r="M4" s="16"/>
      <c r="N4" s="38" t="s">
        <v>75</v>
      </c>
      <c r="O4" s="38" t="s">
        <v>72</v>
      </c>
    </row>
    <row r="5" spans="2:15" ht="11.25">
      <c r="B5" s="16" t="s">
        <v>2</v>
      </c>
      <c r="C5" s="16"/>
      <c r="D5" s="16" t="s">
        <v>3</v>
      </c>
      <c r="E5" s="16"/>
      <c r="F5" s="16"/>
      <c r="G5" s="16"/>
      <c r="H5" s="16" t="s">
        <v>4</v>
      </c>
      <c r="I5" s="16"/>
      <c r="J5" s="16" t="s">
        <v>5</v>
      </c>
      <c r="K5" s="16" t="s">
        <v>6</v>
      </c>
      <c r="L5" s="16" t="s">
        <v>30</v>
      </c>
      <c r="M5" s="16" t="s">
        <v>26</v>
      </c>
      <c r="N5" s="16" t="s">
        <v>48</v>
      </c>
      <c r="O5" s="16" t="s">
        <v>7</v>
      </c>
    </row>
    <row r="6" spans="2:15" ht="11.25">
      <c r="B6" s="17" t="s">
        <v>8</v>
      </c>
      <c r="C6" s="17" t="s">
        <v>9</v>
      </c>
      <c r="D6" s="17" t="s">
        <v>10</v>
      </c>
      <c r="E6" s="17" t="s">
        <v>11</v>
      </c>
      <c r="F6" s="17" t="s">
        <v>12</v>
      </c>
      <c r="G6" s="17" t="s">
        <v>13</v>
      </c>
      <c r="H6" s="17" t="s">
        <v>10</v>
      </c>
      <c r="I6" s="17" t="s">
        <v>14</v>
      </c>
      <c r="J6" s="17" t="s">
        <v>15</v>
      </c>
      <c r="K6" s="17" t="s">
        <v>16</v>
      </c>
      <c r="L6" s="17" t="s">
        <v>10</v>
      </c>
      <c r="M6" s="17"/>
      <c r="N6" s="31" t="s">
        <v>8</v>
      </c>
      <c r="O6" s="17" t="s">
        <v>8</v>
      </c>
    </row>
    <row r="7" spans="1:14" s="19" customFormat="1" ht="11.25">
      <c r="A7" s="5" t="s">
        <v>17</v>
      </c>
      <c r="B7" s="18"/>
      <c r="C7" s="18"/>
      <c r="D7" s="18"/>
      <c r="E7" s="18"/>
      <c r="F7" s="18"/>
      <c r="G7" s="18"/>
      <c r="H7" s="18"/>
      <c r="I7" s="18"/>
      <c r="J7" s="18"/>
      <c r="K7" s="18"/>
      <c r="L7" s="18"/>
      <c r="M7" s="18"/>
      <c r="N7" s="18"/>
    </row>
    <row r="8" spans="1:15" ht="11.25" customHeight="1">
      <c r="A8" s="8" t="s">
        <v>18</v>
      </c>
      <c r="B8" s="15">
        <f>SUM(B9:B14)</f>
        <v>201759.02000000002</v>
      </c>
      <c r="C8" s="15">
        <f aca="true" t="shared" si="0" ref="C8:O8">SUM(C9:C14)</f>
        <v>83513.94</v>
      </c>
      <c r="D8" s="15">
        <f t="shared" si="0"/>
        <v>122020.02</v>
      </c>
      <c r="E8" s="15">
        <f t="shared" si="0"/>
        <v>46.64</v>
      </c>
      <c r="F8" s="15">
        <f t="shared" si="0"/>
        <v>531850.11</v>
      </c>
      <c r="G8" s="15">
        <f t="shared" si="0"/>
        <v>22031.1</v>
      </c>
      <c r="H8" s="15">
        <f t="shared" si="0"/>
        <v>217344.78</v>
      </c>
      <c r="I8" s="15">
        <f t="shared" si="0"/>
        <v>437580.14</v>
      </c>
      <c r="J8" s="15">
        <f t="shared" si="0"/>
        <v>659046.78</v>
      </c>
      <c r="K8" s="15">
        <f t="shared" si="0"/>
        <v>1720051.3699999999</v>
      </c>
      <c r="L8" s="15">
        <f t="shared" si="0"/>
        <v>371639.98000000004</v>
      </c>
      <c r="M8" s="15">
        <f t="shared" si="0"/>
        <v>0</v>
      </c>
      <c r="N8" s="15">
        <f t="shared" si="0"/>
        <v>4366883.88</v>
      </c>
      <c r="O8" s="15">
        <f t="shared" si="0"/>
        <v>4642251</v>
      </c>
    </row>
    <row r="9" spans="1:15" s="19" customFormat="1" ht="11.25" customHeight="1">
      <c r="A9" s="19" t="s">
        <v>19</v>
      </c>
      <c r="F9" s="19">
        <v>369993.35</v>
      </c>
      <c r="N9" s="19">
        <f aca="true" t="shared" si="1" ref="N9:N14">SUM(B9:M9)</f>
        <v>369993.35</v>
      </c>
      <c r="O9" s="19">
        <v>159728</v>
      </c>
    </row>
    <row r="10" spans="1:15" s="19" customFormat="1" ht="11.25" customHeight="1" outlineLevel="1">
      <c r="A10" s="19" t="s">
        <v>20</v>
      </c>
      <c r="B10" s="19">
        <v>99.82</v>
      </c>
      <c r="J10" s="19">
        <v>24402.23</v>
      </c>
      <c r="K10" s="19">
        <v>494450.91</v>
      </c>
      <c r="N10" s="19">
        <f t="shared" si="1"/>
        <v>518952.95999999996</v>
      </c>
      <c r="O10" s="19">
        <v>592838</v>
      </c>
    </row>
    <row r="11" spans="1:15" ht="11.25" outlineLevel="1">
      <c r="A11" s="15" t="s">
        <v>21</v>
      </c>
      <c r="N11" s="19">
        <f t="shared" si="1"/>
        <v>0</v>
      </c>
      <c r="O11" s="15">
        <v>0</v>
      </c>
    </row>
    <row r="12" spans="1:15" ht="11.25" outlineLevel="1">
      <c r="A12" s="15" t="s">
        <v>35</v>
      </c>
      <c r="B12" s="15">
        <v>35499.24</v>
      </c>
      <c r="C12" s="20"/>
      <c r="D12" s="20"/>
      <c r="L12" s="15">
        <v>-47.42</v>
      </c>
      <c r="N12" s="19">
        <f t="shared" si="1"/>
        <v>35451.82</v>
      </c>
      <c r="O12" s="15">
        <v>9863</v>
      </c>
    </row>
    <row r="13" spans="1:15" ht="11.25" outlineLevel="1">
      <c r="A13" s="15" t="s">
        <v>36</v>
      </c>
      <c r="B13" s="15">
        <v>166105.26</v>
      </c>
      <c r="C13" s="15">
        <v>83513.94</v>
      </c>
      <c r="D13" s="15">
        <v>122020.02</v>
      </c>
      <c r="E13" s="15">
        <v>46.64</v>
      </c>
      <c r="F13" s="15">
        <f>48272.42+113584.34</f>
        <v>161856.76</v>
      </c>
      <c r="G13" s="15">
        <v>22031.1</v>
      </c>
      <c r="H13" s="15">
        <v>217344.78</v>
      </c>
      <c r="I13" s="15">
        <v>437580.14</v>
      </c>
      <c r="J13" s="15">
        <v>621272.13</v>
      </c>
      <c r="K13" s="15">
        <v>958596.97</v>
      </c>
      <c r="L13" s="15">
        <v>371687.4</v>
      </c>
      <c r="N13" s="19">
        <f t="shared" si="1"/>
        <v>3162055.14</v>
      </c>
      <c r="O13" s="15">
        <v>3565958</v>
      </c>
    </row>
    <row r="14" spans="1:15" ht="11.25" outlineLevel="1">
      <c r="A14" s="15" t="s">
        <v>37</v>
      </c>
      <c r="B14" s="15">
        <v>54.7</v>
      </c>
      <c r="J14" s="15">
        <v>13372.42</v>
      </c>
      <c r="K14" s="15">
        <v>267003.49</v>
      </c>
      <c r="N14" s="19">
        <f t="shared" si="1"/>
        <v>280430.61</v>
      </c>
      <c r="O14" s="15">
        <v>313864</v>
      </c>
    </row>
    <row r="16" spans="1:17" ht="11.25">
      <c r="A16" s="14" t="s">
        <v>25</v>
      </c>
      <c r="B16" s="15">
        <f aca="true" t="shared" si="2" ref="B16:O16">SUM(B17:B19)</f>
        <v>2978469.69</v>
      </c>
      <c r="C16" s="15">
        <f t="shared" si="2"/>
        <v>29386.61</v>
      </c>
      <c r="D16" s="15">
        <f t="shared" si="2"/>
        <v>214094.86</v>
      </c>
      <c r="E16" s="15">
        <f t="shared" si="2"/>
        <v>0</v>
      </c>
      <c r="F16" s="15">
        <f t="shared" si="2"/>
        <v>46199.06</v>
      </c>
      <c r="G16" s="15">
        <f t="shared" si="2"/>
        <v>4355.56</v>
      </c>
      <c r="H16" s="15">
        <f t="shared" si="2"/>
        <v>13520</v>
      </c>
      <c r="I16" s="15">
        <f t="shared" si="2"/>
        <v>278086.02</v>
      </c>
      <c r="J16" s="15">
        <f t="shared" si="2"/>
        <v>1876705.19</v>
      </c>
      <c r="K16" s="15">
        <f t="shared" si="2"/>
        <v>386534.98</v>
      </c>
      <c r="L16" s="15">
        <f t="shared" si="2"/>
        <v>425416.89</v>
      </c>
      <c r="M16" s="15">
        <f t="shared" si="2"/>
        <v>0</v>
      </c>
      <c r="N16" s="15">
        <f t="shared" si="2"/>
        <v>6252768.859999999</v>
      </c>
      <c r="O16" s="15">
        <f t="shared" si="2"/>
        <v>6493550</v>
      </c>
      <c r="Q16" s="15" t="e">
        <f>SUM(#REF!+#REF!+#REF!+#REF!)</f>
        <v>#REF!</v>
      </c>
    </row>
    <row r="17" spans="1:15" ht="11.25" outlineLevel="1">
      <c r="A17" s="15" t="s">
        <v>22</v>
      </c>
      <c r="B17" s="15">
        <v>2901869.69</v>
      </c>
      <c r="C17" s="15">
        <v>29386.61</v>
      </c>
      <c r="D17" s="19">
        <v>182245.5</v>
      </c>
      <c r="F17" s="15">
        <v>46199.06</v>
      </c>
      <c r="G17" s="15">
        <v>4355.56</v>
      </c>
      <c r="H17" s="15">
        <v>13520</v>
      </c>
      <c r="I17" s="15">
        <v>278086.02</v>
      </c>
      <c r="J17" s="15">
        <v>1695813.69</v>
      </c>
      <c r="K17" s="15">
        <f>335229.97+51305.01</f>
        <v>386534.98</v>
      </c>
      <c r="L17" s="15">
        <v>398112.7</v>
      </c>
      <c r="N17" s="19">
        <f>SUM(B17:M17)</f>
        <v>5936123.81</v>
      </c>
      <c r="O17" s="15">
        <v>6027354</v>
      </c>
    </row>
    <row r="18" spans="1:15" ht="11.25" outlineLevel="1">
      <c r="A18" s="15" t="s">
        <v>46</v>
      </c>
      <c r="N18" s="19">
        <f>SUM(B18:M18)</f>
        <v>0</v>
      </c>
      <c r="O18" s="15">
        <v>0</v>
      </c>
    </row>
    <row r="19" spans="1:15" ht="11.25" outlineLevel="1">
      <c r="A19" s="15" t="s">
        <v>38</v>
      </c>
      <c r="B19" s="15">
        <v>76600</v>
      </c>
      <c r="D19" s="15">
        <v>31849.36</v>
      </c>
      <c r="J19" s="15">
        <v>180891.5</v>
      </c>
      <c r="L19" s="15">
        <v>27304.19</v>
      </c>
      <c r="N19" s="19">
        <f>SUM(B19:M19)</f>
        <v>316645.05</v>
      </c>
      <c r="O19" s="15">
        <v>466196</v>
      </c>
    </row>
    <row r="21" spans="1:15" ht="11.25">
      <c r="A21" s="14" t="s">
        <v>23</v>
      </c>
      <c r="B21" s="15">
        <f aca="true" t="shared" si="3" ref="B21:O21">SUM(B22:B24)</f>
        <v>1661806.3</v>
      </c>
      <c r="C21" s="15">
        <f t="shared" si="3"/>
        <v>416576.46</v>
      </c>
      <c r="D21" s="15">
        <f t="shared" si="3"/>
        <v>645341.48</v>
      </c>
      <c r="E21" s="15">
        <f t="shared" si="3"/>
        <v>40342.77</v>
      </c>
      <c r="F21" s="15">
        <f t="shared" si="3"/>
        <v>5889118.39</v>
      </c>
      <c r="G21" s="15">
        <f t="shared" si="3"/>
        <v>39857.14</v>
      </c>
      <c r="H21" s="15">
        <f t="shared" si="3"/>
        <v>68006.21</v>
      </c>
      <c r="I21" s="15">
        <f t="shared" si="3"/>
        <v>1143345.2999999998</v>
      </c>
      <c r="J21" s="15">
        <f t="shared" si="3"/>
        <v>50739.54</v>
      </c>
      <c r="K21" s="15">
        <f t="shared" si="3"/>
        <v>2226371.69</v>
      </c>
      <c r="L21" s="15">
        <f t="shared" si="3"/>
        <v>7991044.66</v>
      </c>
      <c r="M21" s="15">
        <f t="shared" si="3"/>
        <v>0</v>
      </c>
      <c r="N21" s="15">
        <f t="shared" si="3"/>
        <v>20172549.94</v>
      </c>
      <c r="O21" s="15">
        <f t="shared" si="3"/>
        <v>18484753</v>
      </c>
    </row>
    <row r="22" spans="1:15" ht="11.25" outlineLevel="1">
      <c r="A22" s="15" t="s">
        <v>22</v>
      </c>
      <c r="B22" s="15">
        <v>1619841.19</v>
      </c>
      <c r="C22" s="15">
        <v>363469.26</v>
      </c>
      <c r="D22" s="15">
        <v>579475.54</v>
      </c>
      <c r="E22" s="15">
        <v>35005.63</v>
      </c>
      <c r="F22" s="15">
        <v>113140.46</v>
      </c>
      <c r="G22" s="15">
        <v>38321.9</v>
      </c>
      <c r="H22" s="15">
        <v>68006.21</v>
      </c>
      <c r="I22" s="15">
        <v>1104747.4</v>
      </c>
      <c r="J22" s="15">
        <v>48859.41</v>
      </c>
      <c r="K22" s="15">
        <f>2001343.58+135972.63</f>
        <v>2137316.21</v>
      </c>
      <c r="L22" s="15">
        <v>7410737.7</v>
      </c>
      <c r="N22" s="19">
        <f>SUM(B22:M22)</f>
        <v>13518920.91</v>
      </c>
      <c r="O22" s="15">
        <v>10918708</v>
      </c>
    </row>
    <row r="23" spans="1:15" ht="11.25" outlineLevel="1">
      <c r="A23" s="15" t="s">
        <v>46</v>
      </c>
      <c r="F23" s="15">
        <v>4680155.46</v>
      </c>
      <c r="N23" s="19">
        <f>SUM(B23:M23)</f>
        <v>4680155.46</v>
      </c>
      <c r="O23" s="15">
        <v>5217426</v>
      </c>
    </row>
    <row r="24" spans="1:15" ht="11.25" outlineLevel="1">
      <c r="A24" s="15" t="s">
        <v>38</v>
      </c>
      <c r="B24" s="15">
        <v>41965.11</v>
      </c>
      <c r="C24" s="15">
        <v>53107.2</v>
      </c>
      <c r="D24" s="15">
        <v>65865.94</v>
      </c>
      <c r="E24" s="15">
        <v>5337.14</v>
      </c>
      <c r="F24" s="15">
        <f>27141.24+1068681.23</f>
        <v>1095822.47</v>
      </c>
      <c r="G24" s="15">
        <v>1535.24</v>
      </c>
      <c r="I24" s="15">
        <v>38597.9</v>
      </c>
      <c r="J24" s="15">
        <v>1880.13</v>
      </c>
      <c r="K24" s="15">
        <v>89055.48</v>
      </c>
      <c r="L24" s="15">
        <v>580306.96</v>
      </c>
      <c r="N24" s="19">
        <f>SUM(B24:M24)</f>
        <v>1973473.5699999996</v>
      </c>
      <c r="O24" s="15">
        <v>2348619</v>
      </c>
    </row>
    <row r="26" spans="1:15" ht="11.25">
      <c r="A26" s="14" t="s">
        <v>24</v>
      </c>
      <c r="B26" s="15">
        <f aca="true" t="shared" si="4" ref="B26:O26">SUM(B27:B29)</f>
        <v>2911.1299999999997</v>
      </c>
      <c r="C26" s="15">
        <f t="shared" si="4"/>
        <v>8970.2</v>
      </c>
      <c r="D26" s="15">
        <f t="shared" si="4"/>
        <v>24373.35</v>
      </c>
      <c r="E26" s="15">
        <f t="shared" si="4"/>
        <v>0</v>
      </c>
      <c r="F26" s="15">
        <f t="shared" si="4"/>
        <v>91986.29000000001</v>
      </c>
      <c r="G26" s="15">
        <f t="shared" si="4"/>
        <v>0</v>
      </c>
      <c r="H26" s="15">
        <f t="shared" si="4"/>
        <v>620732.55</v>
      </c>
      <c r="I26" s="15">
        <f t="shared" si="4"/>
        <v>62189.78</v>
      </c>
      <c r="J26" s="15">
        <f t="shared" si="4"/>
        <v>0</v>
      </c>
      <c r="K26" s="15">
        <f t="shared" si="4"/>
        <v>636533.48</v>
      </c>
      <c r="L26" s="15">
        <f t="shared" si="4"/>
        <v>113136.63</v>
      </c>
      <c r="M26" s="15">
        <f t="shared" si="4"/>
        <v>0</v>
      </c>
      <c r="N26" s="15">
        <f t="shared" si="4"/>
        <v>1560833.41</v>
      </c>
      <c r="O26" s="15">
        <f t="shared" si="4"/>
        <v>2897876</v>
      </c>
    </row>
    <row r="27" spans="1:15" ht="11.25" outlineLevel="1">
      <c r="A27" s="15" t="s">
        <v>22</v>
      </c>
      <c r="B27" s="15">
        <v>2695.49</v>
      </c>
      <c r="C27" s="15">
        <v>8970.2</v>
      </c>
      <c r="D27" s="15">
        <f>24357.3+16.05</f>
        <v>24373.35</v>
      </c>
      <c r="F27" s="15">
        <v>93518.82</v>
      </c>
      <c r="H27" s="15">
        <v>517239.81</v>
      </c>
      <c r="I27" s="15">
        <v>62189.78</v>
      </c>
      <c r="K27" s="15">
        <v>523375.59</v>
      </c>
      <c r="L27" s="15">
        <v>54703.4</v>
      </c>
      <c r="N27" s="19">
        <f>SUM(B27:M27)</f>
        <v>1287066.44</v>
      </c>
      <c r="O27" s="15">
        <v>2716310</v>
      </c>
    </row>
    <row r="28" spans="1:15" ht="11.25" outlineLevel="1">
      <c r="A28" s="15" t="s">
        <v>46</v>
      </c>
      <c r="N28" s="19">
        <f>SUM(B28:M28)</f>
        <v>0</v>
      </c>
      <c r="O28" s="15">
        <v>0</v>
      </c>
    </row>
    <row r="29" spans="1:15" ht="11.25" outlineLevel="1">
      <c r="A29" s="15" t="s">
        <v>38</v>
      </c>
      <c r="B29" s="15">
        <v>215.64</v>
      </c>
      <c r="F29" s="15">
        <v>-1532.53</v>
      </c>
      <c r="H29" s="15">
        <v>103492.74</v>
      </c>
      <c r="K29" s="15">
        <v>113157.89</v>
      </c>
      <c r="L29" s="15">
        <v>58433.23</v>
      </c>
      <c r="N29" s="19">
        <f>SUM(B29:M29)</f>
        <v>273766.97</v>
      </c>
      <c r="O29" s="15">
        <v>181566</v>
      </c>
    </row>
    <row r="31" spans="1:15" ht="11.25">
      <c r="A31" s="14" t="s">
        <v>27</v>
      </c>
      <c r="N31" s="19">
        <f>SUM(B31:M31)</f>
        <v>0</v>
      </c>
      <c r="O31" s="15">
        <v>0</v>
      </c>
    </row>
    <row r="32" spans="1:14" ht="11.25">
      <c r="A32" s="14"/>
      <c r="N32" s="19"/>
    </row>
    <row r="33" spans="1:15" s="42" customFormat="1" ht="11.25">
      <c r="A33" s="39" t="s">
        <v>73</v>
      </c>
      <c r="B33" s="42">
        <f aca="true" t="shared" si="5" ref="B33:L33">((B19+B24+B29)/(B17+B18+B22+B23+B27+B28))</f>
        <v>0.026253333650045233</v>
      </c>
      <c r="C33" s="42">
        <f t="shared" si="5"/>
        <v>0.13216464526554983</v>
      </c>
      <c r="D33" s="42">
        <f t="shared" si="5"/>
        <v>0.12430479245628505</v>
      </c>
      <c r="E33" s="42">
        <f t="shared" si="5"/>
        <v>0.15246518917099908</v>
      </c>
      <c r="F33" s="42">
        <f t="shared" si="5"/>
        <v>0.22182989636071965</v>
      </c>
      <c r="G33" s="42">
        <f t="shared" si="5"/>
        <v>0.035973087433038425</v>
      </c>
      <c r="H33" s="42">
        <f t="shared" si="5"/>
        <v>0.17284337544739095</v>
      </c>
      <c r="I33" s="42">
        <f t="shared" si="5"/>
        <v>0.026710920627433528</v>
      </c>
      <c r="J33" s="42">
        <f t="shared" si="5"/>
        <v>0.10475981431707752</v>
      </c>
      <c r="K33" s="42">
        <f t="shared" si="5"/>
        <v>0.06635980338818104</v>
      </c>
      <c r="L33" s="42">
        <f t="shared" si="5"/>
        <v>0.08470017462079293</v>
      </c>
      <c r="N33" s="42">
        <f>((N19+N24+N29)/(N17+N18+N22+N23+N27+N28))</f>
        <v>0.10085196683378973</v>
      </c>
      <c r="O33" s="42">
        <f>((O19+O24+O29)/(O17+O18+O22+O23+O27+O28))</f>
        <v>0.12043429773826941</v>
      </c>
    </row>
    <row r="34" spans="2:15" ht="11.25">
      <c r="B34" s="21"/>
      <c r="C34" s="21"/>
      <c r="D34" s="21"/>
      <c r="E34" s="21"/>
      <c r="F34" s="21"/>
      <c r="G34" s="21"/>
      <c r="H34" s="21"/>
      <c r="I34" s="21"/>
      <c r="J34" s="21"/>
      <c r="K34" s="21"/>
      <c r="L34" s="21"/>
      <c r="M34" s="21"/>
      <c r="N34" s="21"/>
      <c r="O34" s="21"/>
    </row>
    <row r="35" spans="1:15" ht="12" thickBot="1">
      <c r="A35" s="8" t="s">
        <v>7</v>
      </c>
      <c r="B35" s="22">
        <f aca="true" t="shared" si="6" ref="B35:O35">+B31+B26+B21+B16+B8</f>
        <v>4844946.140000001</v>
      </c>
      <c r="C35" s="22">
        <f t="shared" si="6"/>
        <v>538447.21</v>
      </c>
      <c r="D35" s="22">
        <f t="shared" si="6"/>
        <v>1005829.71</v>
      </c>
      <c r="E35" s="22">
        <f t="shared" si="6"/>
        <v>40389.409999999996</v>
      </c>
      <c r="F35" s="22">
        <f t="shared" si="6"/>
        <v>6559153.85</v>
      </c>
      <c r="G35" s="22">
        <f t="shared" si="6"/>
        <v>66243.79999999999</v>
      </c>
      <c r="H35" s="22">
        <f t="shared" si="6"/>
        <v>919603.54</v>
      </c>
      <c r="I35" s="22">
        <f t="shared" si="6"/>
        <v>1921201.2399999998</v>
      </c>
      <c r="J35" s="22">
        <f t="shared" si="6"/>
        <v>2586491.51</v>
      </c>
      <c r="K35" s="22">
        <f t="shared" si="6"/>
        <v>4969491.52</v>
      </c>
      <c r="L35" s="22">
        <f t="shared" si="6"/>
        <v>8901238.16</v>
      </c>
      <c r="M35" s="22">
        <f t="shared" si="6"/>
        <v>0</v>
      </c>
      <c r="N35" s="22">
        <f t="shared" si="6"/>
        <v>32353036.09</v>
      </c>
      <c r="O35" s="22">
        <f t="shared" si="6"/>
        <v>32518430</v>
      </c>
    </row>
    <row r="36" ht="12" thickTop="1">
      <c r="F36" s="24" t="s">
        <v>34</v>
      </c>
    </row>
    <row r="38" spans="2:8" ht="11.25">
      <c r="B38" s="23"/>
      <c r="C38" s="23"/>
      <c r="D38" s="23"/>
      <c r="E38" s="23"/>
      <c r="F38" s="23"/>
      <c r="G38" s="23"/>
      <c r="H38" s="23"/>
    </row>
    <row r="39" spans="1:8" ht="11.25">
      <c r="A39" s="8"/>
      <c r="B39" s="23"/>
      <c r="C39" s="23"/>
      <c r="D39" s="23"/>
      <c r="E39" s="23"/>
      <c r="F39" s="23"/>
      <c r="G39" s="23"/>
      <c r="H39" s="23"/>
    </row>
    <row r="40" spans="2:8" ht="11.25">
      <c r="B40" s="23"/>
      <c r="C40" s="23"/>
      <c r="D40" s="23"/>
      <c r="E40" s="23"/>
      <c r="F40" s="23"/>
      <c r="G40" s="23"/>
      <c r="H40" s="23"/>
    </row>
    <row r="41" spans="2:8" ht="11.25">
      <c r="B41" s="23"/>
      <c r="C41" s="23"/>
      <c r="D41" s="23"/>
      <c r="E41" s="23"/>
      <c r="F41" s="23"/>
      <c r="G41" s="23"/>
      <c r="H41" s="23"/>
    </row>
    <row r="42" spans="2:10" ht="11.25">
      <c r="B42" s="23"/>
      <c r="C42" s="23"/>
      <c r="D42" s="23"/>
      <c r="E42" s="23"/>
      <c r="F42" s="23"/>
      <c r="G42" s="23"/>
      <c r="H42" s="23"/>
      <c r="I42" s="23"/>
      <c r="J42" s="23"/>
    </row>
    <row r="43" spans="2:10" ht="11.25">
      <c r="B43" s="23"/>
      <c r="C43" s="23"/>
      <c r="D43" s="23"/>
      <c r="E43" s="23"/>
      <c r="F43" s="23"/>
      <c r="G43" s="23"/>
      <c r="H43" s="23"/>
      <c r="I43" s="23"/>
      <c r="J43" s="23"/>
    </row>
    <row r="44" spans="2:8" ht="11.25">
      <c r="B44" s="23"/>
      <c r="C44" s="23"/>
      <c r="D44" s="23"/>
      <c r="E44" s="23"/>
      <c r="F44" s="23"/>
      <c r="G44" s="23"/>
      <c r="H44" s="23"/>
    </row>
    <row r="45" spans="2:16" ht="11.25">
      <c r="B45" s="23"/>
      <c r="C45" s="23"/>
      <c r="D45" s="23"/>
      <c r="E45" s="23"/>
      <c r="F45" s="23"/>
      <c r="G45" s="23"/>
      <c r="H45" s="23"/>
      <c r="K45" s="23"/>
      <c r="L45" s="23"/>
      <c r="M45" s="23"/>
      <c r="N45" s="23"/>
      <c r="O45" s="23"/>
      <c r="P45" s="23"/>
    </row>
    <row r="46" spans="2:16" ht="11.25">
      <c r="B46" s="23"/>
      <c r="C46" s="23"/>
      <c r="D46" s="23"/>
      <c r="E46" s="23"/>
      <c r="F46" s="23"/>
      <c r="G46" s="23"/>
      <c r="H46" s="23"/>
      <c r="K46" s="23"/>
      <c r="L46" s="23"/>
      <c r="M46" s="23"/>
      <c r="N46" s="23"/>
      <c r="O46" s="23"/>
      <c r="P46" s="23"/>
    </row>
    <row r="47" spans="2:16" ht="11.25">
      <c r="B47" s="27"/>
      <c r="C47" s="12"/>
      <c r="D47" s="12"/>
      <c r="K47" s="23"/>
      <c r="L47" s="23"/>
      <c r="M47" s="23"/>
      <c r="N47" s="23"/>
      <c r="O47" s="23"/>
      <c r="P47" s="23"/>
    </row>
    <row r="48" spans="11:16" ht="11.25">
      <c r="K48" s="8" t="s">
        <v>49</v>
      </c>
      <c r="L48" s="2"/>
      <c r="M48" s="2"/>
      <c r="N48" s="28" t="s">
        <v>50</v>
      </c>
      <c r="O48" s="28" t="s">
        <v>51</v>
      </c>
      <c r="P48" s="23"/>
    </row>
    <row r="49" spans="11:16" ht="11.25">
      <c r="K49" s="2"/>
      <c r="L49" s="2"/>
      <c r="M49" s="2"/>
      <c r="N49" s="28" t="s">
        <v>52</v>
      </c>
      <c r="O49" s="28" t="s">
        <v>53</v>
      </c>
      <c r="P49" s="23"/>
    </row>
    <row r="50" spans="11:16" ht="11.25">
      <c r="K50" s="2"/>
      <c r="L50" s="12"/>
      <c r="M50" s="12"/>
      <c r="N50" s="19"/>
      <c r="P50" s="23"/>
    </row>
    <row r="51" spans="11:16" ht="11.25">
      <c r="K51" s="2" t="s">
        <v>67</v>
      </c>
      <c r="L51" s="12"/>
      <c r="M51" s="12"/>
      <c r="N51" s="36">
        <f>N18+N17+N22+N23+N27+N28-N60+N9</f>
        <v>25422266.62</v>
      </c>
      <c r="O51" s="21">
        <v>25422266.21</v>
      </c>
      <c r="P51" s="23"/>
    </row>
    <row r="52" spans="11:16" ht="11.25">
      <c r="K52" s="2"/>
      <c r="L52" s="12"/>
      <c r="M52" s="12"/>
      <c r="N52" s="19"/>
      <c r="P52" s="23"/>
    </row>
    <row r="53" spans="11:16" ht="12" thickBot="1">
      <c r="K53" s="2" t="s">
        <v>65</v>
      </c>
      <c r="L53" s="12"/>
      <c r="M53" s="12"/>
      <c r="N53" s="37">
        <f>N51</f>
        <v>25422266.62</v>
      </c>
      <c r="O53" s="22">
        <f>O51</f>
        <v>25422266.21</v>
      </c>
      <c r="P53" s="23"/>
    </row>
    <row r="54" spans="2:16" ht="12" thickTop="1">
      <c r="B54" s="23"/>
      <c r="C54" s="23"/>
      <c r="D54" s="23"/>
      <c r="E54" s="23"/>
      <c r="F54" s="23"/>
      <c r="G54" s="23"/>
      <c r="H54" s="23"/>
      <c r="I54" s="23"/>
      <c r="J54" s="23"/>
      <c r="K54" s="2"/>
      <c r="L54" s="12"/>
      <c r="M54" s="12"/>
      <c r="N54" s="19"/>
      <c r="P54" s="23"/>
    </row>
    <row r="55" spans="11:16" ht="11.25">
      <c r="K55" s="15" t="s">
        <v>35</v>
      </c>
      <c r="L55" s="2"/>
      <c r="M55" s="2"/>
      <c r="N55" s="19">
        <f>SUM(N12)</f>
        <v>35451.82</v>
      </c>
      <c r="O55" s="15">
        <f>SUM(N12)</f>
        <v>35451.82</v>
      </c>
      <c r="P55" s="23"/>
    </row>
    <row r="56" spans="11:16" ht="11.25">
      <c r="K56" s="15" t="s">
        <v>36</v>
      </c>
      <c r="L56" s="2"/>
      <c r="M56" s="2"/>
      <c r="N56" s="30">
        <f>SUM(N13)</f>
        <v>3162055.14</v>
      </c>
      <c r="O56" s="23">
        <f>SUM(N13)</f>
        <v>3162055.14</v>
      </c>
      <c r="P56" s="23"/>
    </row>
    <row r="57" spans="11:16" ht="11.25">
      <c r="K57" s="15" t="s">
        <v>38</v>
      </c>
      <c r="L57" s="2"/>
      <c r="M57" s="2"/>
      <c r="N57" s="30">
        <f>SUM(N29+N19+N24)</f>
        <v>2563885.59</v>
      </c>
      <c r="O57" s="23">
        <f>SUM(N29+N19+N24)</f>
        <v>2563885.59</v>
      </c>
      <c r="P57" s="23"/>
    </row>
    <row r="58" spans="11:16" ht="11.25">
      <c r="K58" s="15" t="s">
        <v>37</v>
      </c>
      <c r="L58" s="12"/>
      <c r="M58" s="12"/>
      <c r="N58" s="30">
        <f>SUM(N14)</f>
        <v>280430.61</v>
      </c>
      <c r="O58" s="23">
        <f>SUM(N14)</f>
        <v>280430.61</v>
      </c>
      <c r="P58" s="23"/>
    </row>
    <row r="59" spans="11:16" ht="11.25">
      <c r="K59" s="2" t="s">
        <v>68</v>
      </c>
      <c r="L59" s="2"/>
      <c r="M59" s="2"/>
      <c r="N59" s="30">
        <f>N10</f>
        <v>518952.95999999996</v>
      </c>
      <c r="O59" s="23">
        <f>N10</f>
        <v>518952.95999999996</v>
      </c>
      <c r="P59" s="23"/>
    </row>
    <row r="60" spans="11:16" ht="11.25">
      <c r="K60" s="2" t="s">
        <v>58</v>
      </c>
      <c r="L60" s="12"/>
      <c r="M60" s="12"/>
      <c r="N60" s="30">
        <v>369993.35</v>
      </c>
      <c r="O60" s="23">
        <v>369993.35</v>
      </c>
      <c r="P60" s="23"/>
    </row>
    <row r="61" spans="11:16" ht="11.25">
      <c r="K61" s="2" t="s">
        <v>59</v>
      </c>
      <c r="L61" s="12"/>
      <c r="M61" s="12"/>
      <c r="N61" s="36"/>
      <c r="O61" s="21">
        <v>0</v>
      </c>
      <c r="P61" s="23"/>
    </row>
    <row r="62" spans="11:16" ht="11.25">
      <c r="K62" s="2"/>
      <c r="L62" s="12"/>
      <c r="M62" s="12"/>
      <c r="P62" s="23"/>
    </row>
    <row r="63" spans="11:16" ht="12" thickBot="1">
      <c r="K63" s="2" t="s">
        <v>7</v>
      </c>
      <c r="L63" s="12"/>
      <c r="M63" s="12"/>
      <c r="N63" s="22">
        <f>SUM(N53:N61)</f>
        <v>32353036.090000004</v>
      </c>
      <c r="O63" s="22">
        <f>SUM(O53:O61)</f>
        <v>32353035.680000003</v>
      </c>
      <c r="P63" s="23"/>
    </row>
    <row r="64" spans="14:16" ht="12" thickTop="1">
      <c r="N64" s="15">
        <f>+N35-N63</f>
        <v>0</v>
      </c>
      <c r="O64" s="15">
        <f>N63-O63</f>
        <v>0.4100000001490116</v>
      </c>
      <c r="P64" s="23"/>
    </row>
    <row r="65" spans="11:16" ht="11.25">
      <c r="K65" s="23"/>
      <c r="L65" s="23"/>
      <c r="M65" s="23"/>
      <c r="N65" s="23"/>
      <c r="O65" s="23"/>
      <c r="P65" s="23"/>
    </row>
    <row r="66" spans="11:16" ht="11.25">
      <c r="K66" s="23"/>
      <c r="L66" s="23"/>
      <c r="M66" s="23"/>
      <c r="N66" s="23"/>
      <c r="O66" s="23"/>
      <c r="P66" s="23"/>
    </row>
    <row r="67" spans="11:16" ht="11.25">
      <c r="K67" s="23"/>
      <c r="L67" s="23"/>
      <c r="M67" s="23"/>
      <c r="N67" s="23"/>
      <c r="O67" s="23"/>
      <c r="P67" s="23"/>
    </row>
    <row r="68" spans="11:16" ht="11.25">
      <c r="K68" s="23"/>
      <c r="L68" s="23"/>
      <c r="M68" s="23"/>
      <c r="N68" s="23"/>
      <c r="O68" s="23"/>
      <c r="P68" s="23"/>
    </row>
  </sheetData>
  <sheetProtection/>
  <printOptions horizontalCentered="1" verticalCentered="1"/>
  <pageMargins left="0" right="0" top="0.5" bottom="0.5" header="0.25" footer="0.25"/>
  <pageSetup fitToHeight="1" fitToWidth="1" horizontalDpi="300" verticalDpi="300" orientation="landscape" scale="76" r:id="rId1"/>
  <headerFooter alignWithMargins="0">
    <oddHeader>&amp;L10-29-07&amp;C&amp;F</oddHeader>
  </headerFooter>
</worksheet>
</file>

<file path=xl/worksheets/sheet4.xml><?xml version="1.0" encoding="utf-8"?>
<worksheet xmlns="http://schemas.openxmlformats.org/spreadsheetml/2006/main" xmlns:r="http://schemas.openxmlformats.org/officeDocument/2006/relationships">
  <sheetPr>
    <outlinePr summaryBelow="0"/>
    <pageSetUpPr fitToPage="1"/>
  </sheetPr>
  <dimension ref="A1:Q65"/>
  <sheetViews>
    <sheetView zoomScalePageLayoutView="0" workbookViewId="0" topLeftCell="A1">
      <pane xSplit="1" ySplit="6" topLeftCell="B7" activePane="bottomRight" state="frozen"/>
      <selection pane="topLeft" activeCell="O2" sqref="O2"/>
      <selection pane="topRight" activeCell="O2" sqref="O2"/>
      <selection pane="bottomLeft" activeCell="O2" sqref="O2"/>
      <selection pane="bottomRight" activeCell="E23" sqref="E23"/>
    </sheetView>
  </sheetViews>
  <sheetFormatPr defaultColWidth="9.140625" defaultRowHeight="12.75" outlineLevelRow="1"/>
  <cols>
    <col min="1" max="1" width="18.8515625" style="15" customWidth="1"/>
    <col min="2" max="2" width="10.57421875" style="15" customWidth="1"/>
    <col min="3" max="3" width="9.8515625" style="15" bestFit="1" customWidth="1"/>
    <col min="4" max="4" width="10.00390625" style="15" customWidth="1"/>
    <col min="5" max="5" width="10.28125" style="15" customWidth="1"/>
    <col min="6" max="6" width="9.140625" style="15" customWidth="1"/>
    <col min="7" max="7" width="10.57421875" style="15" customWidth="1"/>
    <col min="8" max="9" width="9.140625" style="15" customWidth="1"/>
    <col min="10" max="11" width="10.140625" style="15" customWidth="1"/>
    <col min="12" max="12" width="10.00390625" style="15" customWidth="1"/>
    <col min="13" max="13" width="9.140625" style="15" customWidth="1"/>
    <col min="14" max="14" width="10.00390625" style="15" bestFit="1" customWidth="1"/>
    <col min="15" max="15" width="8.8515625" style="15" bestFit="1" customWidth="1"/>
    <col min="16" max="16384" width="9.140625" style="15" customWidth="1"/>
  </cols>
  <sheetData>
    <row r="1" spans="1:15" ht="11.25">
      <c r="A1" s="8" t="s">
        <v>74</v>
      </c>
      <c r="H1" s="13"/>
      <c r="O1" s="33" t="s">
        <v>45</v>
      </c>
    </row>
    <row r="2" ht="11.25">
      <c r="A2" s="14" t="s">
        <v>28</v>
      </c>
    </row>
    <row r="3" ht="11.25">
      <c r="O3" s="29" t="s">
        <v>34</v>
      </c>
    </row>
    <row r="4" spans="1:15" ht="11.25">
      <c r="A4" s="14" t="s">
        <v>41</v>
      </c>
      <c r="B4" s="16"/>
      <c r="C4" s="16"/>
      <c r="D4" s="16"/>
      <c r="E4" s="16"/>
      <c r="F4" s="16"/>
      <c r="G4" s="16"/>
      <c r="H4" s="16" t="s">
        <v>1</v>
      </c>
      <c r="I4" s="16"/>
      <c r="J4" s="16"/>
      <c r="K4" s="16"/>
      <c r="L4" s="16" t="s">
        <v>29</v>
      </c>
      <c r="M4" s="16"/>
      <c r="N4" s="38" t="s">
        <v>75</v>
      </c>
      <c r="O4" s="38" t="s">
        <v>72</v>
      </c>
    </row>
    <row r="5" spans="2:15" ht="11.25">
      <c r="B5" s="16" t="s">
        <v>2</v>
      </c>
      <c r="C5" s="16"/>
      <c r="D5" s="16" t="s">
        <v>3</v>
      </c>
      <c r="E5" s="16"/>
      <c r="F5" s="16"/>
      <c r="G5" s="16"/>
      <c r="H5" s="16" t="s">
        <v>4</v>
      </c>
      <c r="I5" s="16"/>
      <c r="J5" s="16" t="s">
        <v>5</v>
      </c>
      <c r="K5" s="16" t="s">
        <v>6</v>
      </c>
      <c r="L5" s="16" t="s">
        <v>30</v>
      </c>
      <c r="M5" s="16" t="s">
        <v>26</v>
      </c>
      <c r="N5" s="16" t="s">
        <v>48</v>
      </c>
      <c r="O5" s="16" t="s">
        <v>7</v>
      </c>
    </row>
    <row r="6" spans="2:15" ht="11.25">
      <c r="B6" s="17" t="s">
        <v>8</v>
      </c>
      <c r="C6" s="17" t="s">
        <v>9</v>
      </c>
      <c r="D6" s="17" t="s">
        <v>10</v>
      </c>
      <c r="E6" s="17" t="s">
        <v>11</v>
      </c>
      <c r="F6" s="17" t="s">
        <v>12</v>
      </c>
      <c r="G6" s="17" t="s">
        <v>13</v>
      </c>
      <c r="H6" s="17" t="s">
        <v>10</v>
      </c>
      <c r="I6" s="17" t="s">
        <v>14</v>
      </c>
      <c r="J6" s="17" t="s">
        <v>15</v>
      </c>
      <c r="K6" s="17" t="s">
        <v>16</v>
      </c>
      <c r="L6" s="17" t="s">
        <v>10</v>
      </c>
      <c r="M6" s="17"/>
      <c r="N6" s="31" t="s">
        <v>8</v>
      </c>
      <c r="O6" s="31" t="s">
        <v>8</v>
      </c>
    </row>
    <row r="7" spans="1:15" s="19" customFormat="1" ht="11.25">
      <c r="A7" s="5" t="s">
        <v>17</v>
      </c>
      <c r="B7" s="18"/>
      <c r="C7" s="18"/>
      <c r="D7" s="18"/>
      <c r="E7" s="18"/>
      <c r="F7" s="18"/>
      <c r="G7" s="18"/>
      <c r="H7" s="18"/>
      <c r="I7" s="18"/>
      <c r="J7" s="18"/>
      <c r="K7" s="18"/>
      <c r="L7" s="18"/>
      <c r="M7" s="18"/>
      <c r="N7" s="18"/>
      <c r="O7" s="18"/>
    </row>
    <row r="8" spans="1:15" ht="11.25" customHeight="1">
      <c r="A8" s="8" t="s">
        <v>18</v>
      </c>
      <c r="B8" s="15">
        <f>SUM(B9:B14)</f>
        <v>5690084.66</v>
      </c>
      <c r="C8" s="15">
        <f aca="true" t="shared" si="0" ref="C8:O8">SUM(C9:C14)</f>
        <v>34937554.669999994</v>
      </c>
      <c r="D8" s="15">
        <f t="shared" si="0"/>
        <v>1483.93</v>
      </c>
      <c r="E8" s="15">
        <f t="shared" si="0"/>
        <v>106430.03</v>
      </c>
      <c r="F8" s="15">
        <f t="shared" si="0"/>
        <v>238384.31</v>
      </c>
      <c r="G8" s="15">
        <f t="shared" si="0"/>
        <v>4773900.600000001</v>
      </c>
      <c r="H8" s="15">
        <f t="shared" si="0"/>
        <v>202498.4</v>
      </c>
      <c r="I8" s="15">
        <f t="shared" si="0"/>
        <v>177245.1</v>
      </c>
      <c r="J8" s="15">
        <f t="shared" si="0"/>
        <v>2973826.29</v>
      </c>
      <c r="K8" s="15">
        <f t="shared" si="0"/>
        <v>0</v>
      </c>
      <c r="L8" s="15">
        <f t="shared" si="0"/>
        <v>2258865.55</v>
      </c>
      <c r="M8" s="15">
        <f t="shared" si="0"/>
        <v>108443.77</v>
      </c>
      <c r="N8" s="15">
        <f t="shared" si="0"/>
        <v>51468717.31</v>
      </c>
      <c r="O8" s="15">
        <f t="shared" si="0"/>
        <v>45978574</v>
      </c>
    </row>
    <row r="9" spans="1:15" s="7" customFormat="1" ht="11.25" customHeight="1" outlineLevel="1">
      <c r="A9" s="7" t="s">
        <v>19</v>
      </c>
      <c r="B9" s="7">
        <v>4433725.87</v>
      </c>
      <c r="C9" s="7">
        <v>33576522.69</v>
      </c>
      <c r="D9" s="7">
        <v>125.47</v>
      </c>
      <c r="E9" s="7">
        <v>79503.09</v>
      </c>
      <c r="F9" s="7">
        <v>91178</v>
      </c>
      <c r="G9" s="7">
        <v>4082678.83</v>
      </c>
      <c r="J9" s="7">
        <v>2952965.38</v>
      </c>
      <c r="L9" s="7">
        <v>2258865.55</v>
      </c>
      <c r="M9" s="7">
        <v>108443.77</v>
      </c>
      <c r="N9" s="7">
        <f aca="true" t="shared" si="1" ref="N9:N14">SUM(B9:M9)</f>
        <v>47584008.65</v>
      </c>
      <c r="O9" s="7">
        <v>41851327</v>
      </c>
    </row>
    <row r="10" spans="1:15" s="7" customFormat="1" ht="11.25" customHeight="1" outlineLevel="1">
      <c r="A10" s="7" t="s">
        <v>20</v>
      </c>
      <c r="C10" s="7">
        <v>404216.58</v>
      </c>
      <c r="G10" s="7">
        <v>22932.65</v>
      </c>
      <c r="H10" s="7">
        <v>15532.55</v>
      </c>
      <c r="N10" s="7">
        <f t="shared" si="1"/>
        <v>442681.78</v>
      </c>
      <c r="O10" s="7">
        <v>496427</v>
      </c>
    </row>
    <row r="11" spans="1:15" ht="11.25" customHeight="1" outlineLevel="1">
      <c r="A11" s="15" t="s">
        <v>31</v>
      </c>
      <c r="N11" s="7">
        <f t="shared" si="1"/>
        <v>0</v>
      </c>
      <c r="O11" s="15">
        <v>0</v>
      </c>
    </row>
    <row r="12" spans="1:15" ht="11.25" outlineLevel="1">
      <c r="A12" s="15" t="s">
        <v>35</v>
      </c>
      <c r="C12" s="20"/>
      <c r="N12" s="7">
        <f t="shared" si="1"/>
        <v>0</v>
      </c>
      <c r="O12" s="15">
        <v>0</v>
      </c>
    </row>
    <row r="13" spans="1:17" ht="11.25" outlineLevel="1">
      <c r="A13" s="15" t="s">
        <v>36</v>
      </c>
      <c r="B13" s="15">
        <v>1256358.79</v>
      </c>
      <c r="C13" s="15">
        <v>800383.58</v>
      </c>
      <c r="D13" s="15">
        <v>1358.46</v>
      </c>
      <c r="E13" s="15">
        <v>26926.94</v>
      </c>
      <c r="F13" s="15">
        <v>147206.31</v>
      </c>
      <c r="G13" s="15">
        <f>652074.14+7340.04</f>
        <v>659414.18</v>
      </c>
      <c r="H13" s="15">
        <v>180954.75</v>
      </c>
      <c r="I13" s="15">
        <v>177245.1</v>
      </c>
      <c r="J13" s="15">
        <v>20860.91</v>
      </c>
      <c r="N13" s="7">
        <f t="shared" si="1"/>
        <v>3270709.0200000005</v>
      </c>
      <c r="O13" s="15">
        <v>3430422</v>
      </c>
      <c r="Q13" s="15" t="e">
        <f>SUM(#REF!+#REF!+#REF!+#REF!+#REF!)</f>
        <v>#REF!</v>
      </c>
    </row>
    <row r="14" spans="1:15" ht="11.25" outlineLevel="1">
      <c r="A14" s="15" t="s">
        <v>37</v>
      </c>
      <c r="C14" s="15">
        <v>156431.82</v>
      </c>
      <c r="G14" s="15">
        <v>8874.94</v>
      </c>
      <c r="H14" s="15">
        <v>6011.1</v>
      </c>
      <c r="N14" s="7">
        <f t="shared" si="1"/>
        <v>171317.86000000002</v>
      </c>
      <c r="O14" s="15">
        <v>200398</v>
      </c>
    </row>
    <row r="16" spans="1:15" ht="11.25">
      <c r="A16" s="14" t="s">
        <v>25</v>
      </c>
      <c r="B16" s="15">
        <f aca="true" t="shared" si="2" ref="B16:M16">SUM(B17:B19)</f>
        <v>177925</v>
      </c>
      <c r="C16" s="15">
        <f t="shared" si="2"/>
        <v>1051211.19</v>
      </c>
      <c r="D16" s="15">
        <f t="shared" si="2"/>
        <v>-125.47</v>
      </c>
      <c r="E16" s="15">
        <f t="shared" si="2"/>
        <v>43145.67</v>
      </c>
      <c r="F16" s="15">
        <f t="shared" si="2"/>
        <v>28668.4</v>
      </c>
      <c r="G16" s="15">
        <f t="shared" si="2"/>
        <v>46504.78</v>
      </c>
      <c r="H16" s="15">
        <f t="shared" si="2"/>
        <v>375415.94</v>
      </c>
      <c r="I16" s="15">
        <f t="shared" si="2"/>
        <v>0</v>
      </c>
      <c r="J16" s="15">
        <f t="shared" si="2"/>
        <v>18352.99</v>
      </c>
      <c r="K16" s="15">
        <f t="shared" si="2"/>
        <v>0</v>
      </c>
      <c r="L16" s="15">
        <f t="shared" si="2"/>
        <v>0</v>
      </c>
      <c r="M16" s="15">
        <f t="shared" si="2"/>
        <v>0</v>
      </c>
      <c r="N16" s="15">
        <f>SUM(N17:N19)</f>
        <v>1741098.5</v>
      </c>
      <c r="O16" s="15">
        <f>SUM(O17:O19)</f>
        <v>1363653</v>
      </c>
    </row>
    <row r="17" spans="1:15" ht="11.25" outlineLevel="1">
      <c r="A17" s="15" t="s">
        <v>22</v>
      </c>
      <c r="B17" s="15">
        <v>168372.88</v>
      </c>
      <c r="C17" s="15">
        <v>910397.63</v>
      </c>
      <c r="D17" s="15">
        <v>-125.47</v>
      </c>
      <c r="E17" s="15">
        <v>43145.67</v>
      </c>
      <c r="F17" s="15">
        <v>28668.4</v>
      </c>
      <c r="G17" s="15">
        <v>46197.58</v>
      </c>
      <c r="H17" s="15">
        <v>375034.65</v>
      </c>
      <c r="J17" s="15">
        <v>18352.99</v>
      </c>
      <c r="N17" s="7">
        <f>SUM(B17:M17)</f>
        <v>1590044.3299999998</v>
      </c>
      <c r="O17" s="15">
        <v>1291703</v>
      </c>
    </row>
    <row r="18" spans="1:15" ht="11.25" outlineLevel="1">
      <c r="A18" s="15" t="s">
        <v>46</v>
      </c>
      <c r="B18" s="15">
        <v>0.07</v>
      </c>
      <c r="N18" s="7">
        <f>SUM(B18:M18)</f>
        <v>0.07</v>
      </c>
      <c r="O18" s="15">
        <v>22505</v>
      </c>
    </row>
    <row r="19" spans="1:15" ht="11.25" outlineLevel="1">
      <c r="A19" s="15" t="s">
        <v>38</v>
      </c>
      <c r="B19" s="15">
        <v>9552.05</v>
      </c>
      <c r="C19" s="15">
        <v>140813.56</v>
      </c>
      <c r="G19" s="15">
        <v>307.2</v>
      </c>
      <c r="H19" s="15">
        <v>381.29</v>
      </c>
      <c r="N19" s="7">
        <f>SUM(B19:M19)</f>
        <v>151054.1</v>
      </c>
      <c r="O19" s="15">
        <v>49445</v>
      </c>
    </row>
    <row r="21" spans="1:15" ht="11.25">
      <c r="A21" s="14" t="s">
        <v>23</v>
      </c>
      <c r="B21" s="15">
        <f aca="true" t="shared" si="3" ref="B21:O21">SUM(B22:B24)</f>
        <v>4076125.38</v>
      </c>
      <c r="C21" s="15">
        <f t="shared" si="3"/>
        <v>3358336.59</v>
      </c>
      <c r="D21" s="15">
        <f t="shared" si="3"/>
        <v>3510.15</v>
      </c>
      <c r="E21" s="15">
        <f t="shared" si="3"/>
        <v>29513.449999999997</v>
      </c>
      <c r="F21" s="15">
        <f t="shared" si="3"/>
        <v>150348.5</v>
      </c>
      <c r="G21" s="15">
        <f t="shared" si="3"/>
        <v>1428686.72</v>
      </c>
      <c r="H21" s="15">
        <f t="shared" si="3"/>
        <v>1683163.88</v>
      </c>
      <c r="I21" s="15">
        <f t="shared" si="3"/>
        <v>364537.08</v>
      </c>
      <c r="J21" s="15">
        <f t="shared" si="3"/>
        <v>0</v>
      </c>
      <c r="K21" s="15">
        <f t="shared" si="3"/>
        <v>0</v>
      </c>
      <c r="L21" s="15">
        <f t="shared" si="3"/>
        <v>0</v>
      </c>
      <c r="M21" s="15">
        <f t="shared" si="3"/>
        <v>0</v>
      </c>
      <c r="N21" s="15">
        <f t="shared" si="3"/>
        <v>11094221.750000004</v>
      </c>
      <c r="O21" s="15">
        <f t="shared" si="3"/>
        <v>10977304</v>
      </c>
    </row>
    <row r="22" spans="1:15" ht="11.25" outlineLevel="1">
      <c r="A22" s="15" t="s">
        <v>22</v>
      </c>
      <c r="B22" s="15">
        <v>3860351.98</v>
      </c>
      <c r="C22" s="15">
        <v>3099453.08</v>
      </c>
      <c r="D22" s="15">
        <v>3510.15</v>
      </c>
      <c r="E22" s="15">
        <v>25875.69</v>
      </c>
      <c r="F22" s="15">
        <v>140669.82</v>
      </c>
      <c r="G22" s="15">
        <v>1233526.59</v>
      </c>
      <c r="H22" s="15">
        <v>1344717.51</v>
      </c>
      <c r="I22" s="15">
        <v>364537.08</v>
      </c>
      <c r="N22" s="7">
        <f>SUM(B22:M22)</f>
        <v>10072641.900000002</v>
      </c>
      <c r="O22" s="15">
        <v>9713619</v>
      </c>
    </row>
    <row r="23" spans="1:15" ht="11.25" outlineLevel="1">
      <c r="A23" s="15" t="s">
        <v>46</v>
      </c>
      <c r="G23" s="15">
        <v>13673.72</v>
      </c>
      <c r="N23" s="7">
        <f>SUM(B23:M23)</f>
        <v>13673.72</v>
      </c>
      <c r="O23" s="15">
        <v>63104</v>
      </c>
    </row>
    <row r="24" spans="1:15" ht="11.25" outlineLevel="1">
      <c r="A24" s="15" t="s">
        <v>38</v>
      </c>
      <c r="B24" s="15">
        <v>215773.4</v>
      </c>
      <c r="C24" s="15">
        <v>258883.51</v>
      </c>
      <c r="E24" s="15">
        <v>3637.76</v>
      </c>
      <c r="F24" s="15">
        <v>9678.68</v>
      </c>
      <c r="G24" s="15">
        <v>181486.41</v>
      </c>
      <c r="H24" s="15">
        <v>338446.37</v>
      </c>
      <c r="N24" s="7">
        <f>SUM(B24:M24)</f>
        <v>1007906.13</v>
      </c>
      <c r="O24" s="15">
        <v>1200581</v>
      </c>
    </row>
    <row r="26" spans="1:15" ht="11.25">
      <c r="A26" s="14" t="s">
        <v>24</v>
      </c>
      <c r="B26" s="15">
        <f aca="true" t="shared" si="4" ref="B26:M26">SUM(B27:B29)</f>
        <v>2139465.25</v>
      </c>
      <c r="C26" s="15">
        <f t="shared" si="4"/>
        <v>804270.19</v>
      </c>
      <c r="D26" s="15">
        <f t="shared" si="4"/>
        <v>0</v>
      </c>
      <c r="E26" s="15">
        <f t="shared" si="4"/>
        <v>32485.6</v>
      </c>
      <c r="F26" s="15">
        <f t="shared" si="4"/>
        <v>385035.20999999996</v>
      </c>
      <c r="G26" s="15">
        <f t="shared" si="4"/>
        <v>1041214.1900000001</v>
      </c>
      <c r="H26" s="15">
        <f t="shared" si="4"/>
        <v>219131.72999999998</v>
      </c>
      <c r="I26" s="15">
        <f t="shared" si="4"/>
        <v>0</v>
      </c>
      <c r="J26" s="15">
        <f t="shared" si="4"/>
        <v>33368.05</v>
      </c>
      <c r="K26" s="15">
        <f t="shared" si="4"/>
        <v>500</v>
      </c>
      <c r="L26" s="15">
        <f t="shared" si="4"/>
        <v>0</v>
      </c>
      <c r="M26" s="15">
        <f t="shared" si="4"/>
        <v>0</v>
      </c>
      <c r="N26" s="15">
        <f>SUM(N27:N29)</f>
        <v>4655470.220000001</v>
      </c>
      <c r="O26" s="15">
        <f>SUM(O27:O29)</f>
        <v>4247450</v>
      </c>
    </row>
    <row r="27" spans="1:15" ht="11.25" outlineLevel="1">
      <c r="A27" s="15" t="s">
        <v>22</v>
      </c>
      <c r="B27" s="15">
        <v>2064172.05</v>
      </c>
      <c r="C27" s="15">
        <v>803384.49</v>
      </c>
      <c r="E27" s="15">
        <v>32485.6</v>
      </c>
      <c r="F27" s="15">
        <v>357870.79</v>
      </c>
      <c r="G27" s="15">
        <v>1029031.05</v>
      </c>
      <c r="H27" s="15">
        <v>218572.37</v>
      </c>
      <c r="J27" s="15">
        <v>33368.05</v>
      </c>
      <c r="K27" s="15">
        <v>500</v>
      </c>
      <c r="N27" s="7">
        <f>SUM(B27:M27)</f>
        <v>4539384.4</v>
      </c>
      <c r="O27" s="15">
        <v>4132801</v>
      </c>
    </row>
    <row r="28" spans="1:15" ht="11.25" outlineLevel="1">
      <c r="A28" s="15" t="s">
        <v>46</v>
      </c>
      <c r="N28" s="7">
        <f>SUM(B28:M28)</f>
        <v>0</v>
      </c>
      <c r="O28" s="15">
        <v>0</v>
      </c>
    </row>
    <row r="29" spans="1:15" ht="11.25" outlineLevel="1">
      <c r="A29" s="15" t="s">
        <v>38</v>
      </c>
      <c r="B29" s="15">
        <v>75293.2</v>
      </c>
      <c r="C29" s="15">
        <v>885.7</v>
      </c>
      <c r="F29" s="15">
        <v>27164.42</v>
      </c>
      <c r="G29" s="15">
        <v>12183.14</v>
      </c>
      <c r="H29" s="15">
        <v>559.36</v>
      </c>
      <c r="N29" s="7">
        <f>SUM(B29:M29)</f>
        <v>116085.81999999999</v>
      </c>
      <c r="O29" s="15">
        <v>114649</v>
      </c>
    </row>
    <row r="31" spans="1:15" ht="11.25">
      <c r="A31" s="14" t="s">
        <v>27</v>
      </c>
      <c r="B31" s="15">
        <f>-111.55-58.41</f>
        <v>-169.95999999999998</v>
      </c>
      <c r="C31" s="15">
        <f>2935.21+4276895.53+1265966.27+160839.44</f>
        <v>5706636.45</v>
      </c>
      <c r="N31" s="7">
        <f>SUM(B31:M31)</f>
        <v>5706466.49</v>
      </c>
      <c r="O31" s="15">
        <v>7802409</v>
      </c>
    </row>
    <row r="32" spans="1:14" ht="11.25">
      <c r="A32" s="14"/>
      <c r="N32" s="7"/>
    </row>
    <row r="33" spans="1:15" s="42" customFormat="1" ht="11.25">
      <c r="A33" s="39" t="s">
        <v>73</v>
      </c>
      <c r="B33" s="42">
        <f aca="true" t="shared" si="5" ref="B33:K33">((B19+B24+B29)/(B17+B18+B22+B23+B27+B28))</f>
        <v>0.04933919791960768</v>
      </c>
      <c r="C33" s="42">
        <f t="shared" si="5"/>
        <v>0.08322526395551998</v>
      </c>
      <c r="D33" s="42">
        <f t="shared" si="5"/>
        <v>0</v>
      </c>
      <c r="E33" s="42">
        <f t="shared" si="5"/>
        <v>0.035837542568509594</v>
      </c>
      <c r="F33" s="42">
        <f t="shared" si="5"/>
        <v>0.0698832897411977</v>
      </c>
      <c r="G33" s="42">
        <f t="shared" si="5"/>
        <v>0.08352322288922216</v>
      </c>
      <c r="H33" s="42">
        <f t="shared" si="5"/>
        <v>0.17509298094679734</v>
      </c>
      <c r="I33" s="42">
        <f t="shared" si="5"/>
        <v>0</v>
      </c>
      <c r="J33" s="42">
        <f t="shared" si="5"/>
        <v>0</v>
      </c>
      <c r="K33" s="42">
        <f t="shared" si="5"/>
        <v>0</v>
      </c>
      <c r="N33" s="42">
        <f>((N19+N24+N29)/(N17+N18+N22+N23+N27+N28))</f>
        <v>0.07863012742279024</v>
      </c>
      <c r="O33" s="42">
        <f>((O19+O24+O29)/(O17+O18+O22+O23+O27+O28))</f>
        <v>0.08964129163597993</v>
      </c>
    </row>
    <row r="34" spans="2:15" ht="11.25">
      <c r="B34" s="21"/>
      <c r="C34" s="21"/>
      <c r="D34" s="21"/>
      <c r="E34" s="21"/>
      <c r="F34" s="21"/>
      <c r="G34" s="21"/>
      <c r="H34" s="21"/>
      <c r="I34" s="21"/>
      <c r="J34" s="21"/>
      <c r="K34" s="21"/>
      <c r="L34" s="21"/>
      <c r="M34" s="21"/>
      <c r="N34" s="21"/>
      <c r="O34" s="21"/>
    </row>
    <row r="35" spans="1:15" ht="12" thickBot="1">
      <c r="A35" s="8" t="s">
        <v>7</v>
      </c>
      <c r="B35" s="22">
        <f aca="true" t="shared" si="6" ref="B35:O35">+B31+B26+B21+B16+B8</f>
        <v>12083430.33</v>
      </c>
      <c r="C35" s="22">
        <f t="shared" si="6"/>
        <v>45858009.089999996</v>
      </c>
      <c r="D35" s="22">
        <f t="shared" si="6"/>
        <v>4868.610000000001</v>
      </c>
      <c r="E35" s="22">
        <f t="shared" si="6"/>
        <v>211574.75</v>
      </c>
      <c r="F35" s="22">
        <f t="shared" si="6"/>
        <v>802436.4199999999</v>
      </c>
      <c r="G35" s="22">
        <f t="shared" si="6"/>
        <v>7290306.290000001</v>
      </c>
      <c r="H35" s="22">
        <f t="shared" si="6"/>
        <v>2480209.9499999997</v>
      </c>
      <c r="I35" s="22">
        <f t="shared" si="6"/>
        <v>541782.18</v>
      </c>
      <c r="J35" s="22">
        <f t="shared" si="6"/>
        <v>3025547.33</v>
      </c>
      <c r="K35" s="22">
        <f t="shared" si="6"/>
        <v>500</v>
      </c>
      <c r="L35" s="22">
        <f t="shared" si="6"/>
        <v>2258865.55</v>
      </c>
      <c r="M35" s="22">
        <f t="shared" si="6"/>
        <v>108443.77</v>
      </c>
      <c r="N35" s="22">
        <f t="shared" si="6"/>
        <v>74665974.27000001</v>
      </c>
      <c r="O35" s="22">
        <f t="shared" si="6"/>
        <v>70369390</v>
      </c>
    </row>
    <row r="36" ht="12" thickTop="1"/>
    <row r="38" spans="2:4" ht="11.25">
      <c r="B38" s="27"/>
      <c r="C38" s="12"/>
      <c r="D38" s="12"/>
    </row>
    <row r="39" spans="1:10" ht="11.25">
      <c r="A39" s="8"/>
      <c r="J39" s="8"/>
    </row>
    <row r="41" spans="2:9" ht="11.25">
      <c r="B41" s="23"/>
      <c r="C41" s="23"/>
      <c r="D41" s="23"/>
      <c r="E41" s="23"/>
      <c r="F41" s="23"/>
      <c r="G41" s="23"/>
      <c r="H41" s="23"/>
      <c r="I41" s="23"/>
    </row>
    <row r="42" spans="2:9" ht="11.25">
      <c r="B42" s="23"/>
      <c r="C42" s="23"/>
      <c r="D42" s="23"/>
      <c r="E42" s="23"/>
      <c r="F42" s="23"/>
      <c r="G42" s="23"/>
      <c r="H42" s="23"/>
      <c r="I42" s="23"/>
    </row>
    <row r="43" spans="2:9" ht="11.25">
      <c r="B43" s="23"/>
      <c r="C43" s="23"/>
      <c r="D43" s="23"/>
      <c r="E43" s="23"/>
      <c r="F43" s="23"/>
      <c r="G43" s="23"/>
      <c r="H43" s="23"/>
      <c r="I43" s="23"/>
    </row>
    <row r="44" spans="2:15" ht="11.25">
      <c r="B44" s="23"/>
      <c r="C44" s="23"/>
      <c r="D44" s="23"/>
      <c r="E44" s="23"/>
      <c r="F44" s="23"/>
      <c r="G44" s="23"/>
      <c r="H44" s="23"/>
      <c r="I44" s="23"/>
      <c r="J44" s="23"/>
      <c r="K44" s="23"/>
      <c r="L44" s="23"/>
      <c r="M44" s="23"/>
      <c r="N44" s="23"/>
      <c r="O44" s="23"/>
    </row>
    <row r="45" spans="10:15" ht="11.25">
      <c r="J45" s="23"/>
      <c r="K45" s="23"/>
      <c r="L45" s="23"/>
      <c r="M45" s="23"/>
      <c r="N45" s="23"/>
      <c r="O45" s="23"/>
    </row>
    <row r="46" spans="10:15" ht="11.25">
      <c r="J46" s="23"/>
      <c r="K46" s="23"/>
      <c r="L46" s="23"/>
      <c r="M46" s="23"/>
      <c r="N46" s="23"/>
      <c r="O46" s="23"/>
    </row>
    <row r="47" spans="10:15" ht="11.25">
      <c r="J47" s="23"/>
      <c r="K47" s="8" t="s">
        <v>49</v>
      </c>
      <c r="N47" s="28" t="s">
        <v>50</v>
      </c>
      <c r="O47" s="28" t="s">
        <v>51</v>
      </c>
    </row>
    <row r="48" spans="10:15" ht="11.25">
      <c r="J48" s="23"/>
      <c r="K48" s="8"/>
      <c r="L48" s="2"/>
      <c r="M48" s="2"/>
      <c r="N48" s="28" t="s">
        <v>52</v>
      </c>
      <c r="O48" s="28" t="s">
        <v>53</v>
      </c>
    </row>
    <row r="49" spans="10:13" ht="11.25">
      <c r="J49" s="23"/>
      <c r="K49" s="2"/>
      <c r="L49" s="2"/>
      <c r="M49" s="2"/>
    </row>
    <row r="50" spans="10:15" ht="11.25">
      <c r="J50" s="23"/>
      <c r="K50" s="2" t="s">
        <v>69</v>
      </c>
      <c r="L50" s="12"/>
      <c r="M50" s="12"/>
      <c r="N50" s="19">
        <f>N9+N10+N11+N31-N59</f>
        <v>53733156.92</v>
      </c>
      <c r="O50" s="15">
        <v>53733157.29</v>
      </c>
    </row>
    <row r="51" spans="10:15" ht="11.25">
      <c r="J51" s="23"/>
      <c r="K51" s="2" t="s">
        <v>70</v>
      </c>
      <c r="L51" s="12"/>
      <c r="M51" s="12"/>
      <c r="N51" s="36">
        <f>N17+N18+N22+N23+N27+N28</f>
        <v>16215744.420000004</v>
      </c>
      <c r="O51" s="21">
        <v>16215744.47</v>
      </c>
    </row>
    <row r="52" spans="10:15" ht="11.25">
      <c r="J52" s="23"/>
      <c r="K52" s="2"/>
      <c r="L52" s="12"/>
      <c r="M52" s="12"/>
      <c r="N52" s="30"/>
      <c r="O52" s="23"/>
    </row>
    <row r="53" spans="10:15" ht="12" thickBot="1">
      <c r="J53" s="23"/>
      <c r="K53" s="2" t="s">
        <v>65</v>
      </c>
      <c r="L53" s="12"/>
      <c r="M53" s="12"/>
      <c r="N53" s="37">
        <f>N50+N51</f>
        <v>69948901.34</v>
      </c>
      <c r="O53" s="22">
        <f>O50+O51</f>
        <v>69948901.76</v>
      </c>
    </row>
    <row r="54" spans="10:15" ht="12" thickTop="1">
      <c r="J54" s="23"/>
      <c r="K54" s="2"/>
      <c r="L54" s="12"/>
      <c r="M54" s="12"/>
      <c r="N54" s="30"/>
      <c r="O54" s="23"/>
    </row>
    <row r="55" spans="10:15" ht="11.25">
      <c r="J55" s="23"/>
      <c r="K55" s="15" t="s">
        <v>35</v>
      </c>
      <c r="L55" s="2"/>
      <c r="M55" s="2"/>
      <c r="N55" s="19">
        <f>SUM(N12)</f>
        <v>0</v>
      </c>
      <c r="O55" s="15">
        <f>SUM(N12)</f>
        <v>0</v>
      </c>
    </row>
    <row r="56" spans="10:15" ht="11.25">
      <c r="J56" s="23"/>
      <c r="K56" s="15" t="s">
        <v>36</v>
      </c>
      <c r="L56" s="2"/>
      <c r="M56" s="2"/>
      <c r="N56" s="30">
        <f>SUM(N13)</f>
        <v>3270709.0200000005</v>
      </c>
      <c r="O56" s="23">
        <f>SUM(N13)</f>
        <v>3270709.0200000005</v>
      </c>
    </row>
    <row r="57" spans="10:15" ht="11.25">
      <c r="J57" s="23"/>
      <c r="K57" s="15" t="s">
        <v>38</v>
      </c>
      <c r="L57" s="2"/>
      <c r="M57" s="2"/>
      <c r="N57" s="30">
        <f>N29+N19+N24</f>
        <v>1275046.05</v>
      </c>
      <c r="O57" s="23">
        <f>N29+N19+N24</f>
        <v>1275046.05</v>
      </c>
    </row>
    <row r="58" spans="10:15" ht="11.25">
      <c r="J58" s="23"/>
      <c r="K58" s="15" t="s">
        <v>37</v>
      </c>
      <c r="L58" s="12"/>
      <c r="M58" s="12"/>
      <c r="N58" s="30">
        <f>SUM(N14)</f>
        <v>171317.86000000002</v>
      </c>
      <c r="O58" s="30">
        <f>SUM(N14)</f>
        <v>171317.86000000002</v>
      </c>
    </row>
    <row r="59" spans="10:15" ht="11.25">
      <c r="J59" s="23"/>
      <c r="K59" s="2" t="s">
        <v>58</v>
      </c>
      <c r="L59" s="12"/>
      <c r="M59" s="12"/>
      <c r="N59" s="30">
        <v>0</v>
      </c>
      <c r="O59" s="30">
        <v>0</v>
      </c>
    </row>
    <row r="60" spans="10:15" ht="11.25">
      <c r="J60" s="23"/>
      <c r="K60" s="2" t="s">
        <v>59</v>
      </c>
      <c r="L60" s="12"/>
      <c r="M60" s="12"/>
      <c r="N60" s="30">
        <v>0</v>
      </c>
      <c r="O60" s="30">
        <v>0</v>
      </c>
    </row>
    <row r="61" spans="10:15" ht="11.25">
      <c r="J61" s="23"/>
      <c r="K61" s="2" t="s">
        <v>60</v>
      </c>
      <c r="L61" s="12"/>
      <c r="M61" s="12"/>
      <c r="N61" s="21">
        <v>0</v>
      </c>
      <c r="O61" s="21">
        <v>0</v>
      </c>
    </row>
    <row r="62" spans="10:13" ht="11.25">
      <c r="J62" s="23"/>
      <c r="K62" s="2"/>
      <c r="L62" s="12"/>
      <c r="M62" s="12"/>
    </row>
    <row r="63" spans="10:15" ht="12" thickBot="1">
      <c r="J63" s="23"/>
      <c r="K63" s="2" t="s">
        <v>7</v>
      </c>
      <c r="L63" s="12"/>
      <c r="M63" s="12"/>
      <c r="N63" s="22">
        <f>SUM(N53:N61)</f>
        <v>74665974.27</v>
      </c>
      <c r="O63" s="22">
        <f>SUM(O53:O61)</f>
        <v>74665974.69</v>
      </c>
    </row>
    <row r="64" spans="10:15" ht="12" thickTop="1">
      <c r="J64" s="23"/>
      <c r="N64" s="15">
        <f>+N35-N63</f>
        <v>0</v>
      </c>
      <c r="O64" s="15">
        <f>N63-O63</f>
        <v>-0.42000000178813934</v>
      </c>
    </row>
    <row r="65" spans="10:15" ht="11.25">
      <c r="J65" s="23"/>
      <c r="K65" s="23"/>
      <c r="L65" s="23"/>
      <c r="M65" s="23"/>
      <c r="N65" s="23"/>
      <c r="O65" s="23"/>
    </row>
  </sheetData>
  <sheetProtection/>
  <printOptions horizontalCentered="1" verticalCentered="1"/>
  <pageMargins left="0" right="0" top="0.5" bottom="0.5" header="0.25" footer="0.25"/>
  <pageSetup fitToHeight="1" fitToWidth="1" horizontalDpi="300" verticalDpi="300" orientation="landscape" scale="79" r:id="rId1"/>
  <headerFooter alignWithMargins="0">
    <oddHeader>&amp;L10-29-07
&amp;C&amp;F</oddHeader>
  </headerFooter>
</worksheet>
</file>

<file path=xl/worksheets/sheet5.xml><?xml version="1.0" encoding="utf-8"?>
<worksheet xmlns="http://schemas.openxmlformats.org/spreadsheetml/2006/main" xmlns:r="http://schemas.openxmlformats.org/officeDocument/2006/relationships">
  <dimension ref="A1:O117"/>
  <sheetViews>
    <sheetView tabSelected="1" zoomScalePageLayoutView="0" workbookViewId="0" topLeftCell="A1">
      <pane xSplit="1" topLeftCell="B1" activePane="topRight" state="frozen"/>
      <selection pane="topLeft" activeCell="A46" sqref="A46"/>
      <selection pane="topRight" activeCell="N75" sqref="N75"/>
    </sheetView>
  </sheetViews>
  <sheetFormatPr defaultColWidth="9.140625" defaultRowHeight="12.75" outlineLevelRow="1"/>
  <cols>
    <col min="1" max="1" width="19.00390625" style="44" customWidth="1"/>
    <col min="2" max="2" width="10.57421875" style="44" customWidth="1"/>
    <col min="3" max="3" width="9.8515625" style="44" bestFit="1" customWidth="1"/>
    <col min="4" max="4" width="10.57421875" style="44" customWidth="1"/>
    <col min="5" max="5" width="10.28125" style="44" customWidth="1"/>
    <col min="6" max="6" width="9.7109375" style="44" customWidth="1"/>
    <col min="7" max="7" width="10.57421875" style="44" customWidth="1"/>
    <col min="8" max="8" width="11.140625" style="44" customWidth="1"/>
    <col min="9" max="11" width="10.140625" style="44" customWidth="1"/>
    <col min="12" max="13" width="9.7109375" style="44" customWidth="1"/>
    <col min="14" max="14" width="11.7109375" style="44" customWidth="1"/>
    <col min="15" max="15" width="9.140625" style="47" customWidth="1"/>
    <col min="16" max="16384" width="9.140625" style="44" customWidth="1"/>
  </cols>
  <sheetData>
    <row r="1" spans="1:14" ht="11.25">
      <c r="A1" s="43" t="s">
        <v>74</v>
      </c>
      <c r="H1" s="45"/>
      <c r="N1" s="46" t="s">
        <v>78</v>
      </c>
    </row>
    <row r="2" ht="11.25">
      <c r="A2" s="43" t="s">
        <v>0</v>
      </c>
    </row>
    <row r="3" ht="11.25">
      <c r="L3" s="48"/>
    </row>
    <row r="4" spans="1:14" ht="11.25">
      <c r="A4" s="43" t="s">
        <v>79</v>
      </c>
      <c r="B4" s="49"/>
      <c r="C4" s="49"/>
      <c r="D4" s="49"/>
      <c r="E4" s="49"/>
      <c r="F4" s="49"/>
      <c r="G4" s="49"/>
      <c r="H4" s="49" t="s">
        <v>1</v>
      </c>
      <c r="I4" s="49"/>
      <c r="J4" s="49"/>
      <c r="K4" s="49"/>
      <c r="L4" s="50" t="s">
        <v>29</v>
      </c>
      <c r="M4" s="49"/>
      <c r="N4" s="49" t="s">
        <v>96</v>
      </c>
    </row>
    <row r="5" spans="2:14" ht="11.25">
      <c r="B5" s="49" t="s">
        <v>2</v>
      </c>
      <c r="C5" s="49"/>
      <c r="D5" s="49" t="s">
        <v>3</v>
      </c>
      <c r="E5" s="49"/>
      <c r="F5" s="49"/>
      <c r="G5" s="49"/>
      <c r="H5" s="49" t="s">
        <v>4</v>
      </c>
      <c r="I5" s="49"/>
      <c r="J5" s="49" t="s">
        <v>5</v>
      </c>
      <c r="K5" s="49" t="s">
        <v>6</v>
      </c>
      <c r="L5" s="50" t="s">
        <v>30</v>
      </c>
      <c r="M5" s="49"/>
      <c r="N5" s="49" t="s">
        <v>7</v>
      </c>
    </row>
    <row r="6" spans="2:14" ht="11.25">
      <c r="B6" s="51" t="s">
        <v>8</v>
      </c>
      <c r="C6" s="51" t="s">
        <v>9</v>
      </c>
      <c r="D6" s="51" t="s">
        <v>10</v>
      </c>
      <c r="E6" s="51" t="s">
        <v>11</v>
      </c>
      <c r="F6" s="51" t="s">
        <v>12</v>
      </c>
      <c r="G6" s="51" t="s">
        <v>13</v>
      </c>
      <c r="H6" s="51" t="s">
        <v>10</v>
      </c>
      <c r="I6" s="51" t="s">
        <v>14</v>
      </c>
      <c r="J6" s="51" t="s">
        <v>15</v>
      </c>
      <c r="K6" s="51" t="s">
        <v>16</v>
      </c>
      <c r="L6" s="52" t="s">
        <v>10</v>
      </c>
      <c r="M6" s="51" t="s">
        <v>26</v>
      </c>
      <c r="N6" s="51" t="s">
        <v>8</v>
      </c>
    </row>
    <row r="7" spans="1:14" ht="11.25">
      <c r="A7" s="43" t="s">
        <v>25</v>
      </c>
      <c r="B7" s="44">
        <f aca="true" t="shared" si="0" ref="B7:M7">SUM(B8:B10)</f>
        <v>1463579.72</v>
      </c>
      <c r="C7" s="44">
        <f t="shared" si="0"/>
        <v>679923.77</v>
      </c>
      <c r="D7" s="44">
        <f t="shared" si="0"/>
        <v>374250.38</v>
      </c>
      <c r="E7" s="44">
        <f t="shared" si="0"/>
        <v>0</v>
      </c>
      <c r="F7" s="44">
        <f t="shared" si="0"/>
        <v>0</v>
      </c>
      <c r="G7" s="44">
        <f t="shared" si="0"/>
        <v>608421.96</v>
      </c>
      <c r="H7" s="44">
        <f t="shared" si="0"/>
        <v>0</v>
      </c>
      <c r="I7" s="44">
        <f t="shared" si="0"/>
        <v>1618883.21</v>
      </c>
      <c r="J7" s="44">
        <f t="shared" si="0"/>
        <v>1487137.1600000001</v>
      </c>
      <c r="K7" s="44">
        <f t="shared" si="0"/>
        <v>1042725.6799999999</v>
      </c>
      <c r="L7" s="44">
        <f t="shared" si="0"/>
        <v>351959.1</v>
      </c>
      <c r="M7" s="44">
        <f t="shared" si="0"/>
        <v>570287.68</v>
      </c>
      <c r="N7" s="44">
        <f>SUM(B7:M7)</f>
        <v>8197168.659999999</v>
      </c>
    </row>
    <row r="8" spans="1:15" s="53" customFormat="1" ht="11.25" outlineLevel="1">
      <c r="A8" s="53" t="s">
        <v>81</v>
      </c>
      <c r="B8" s="53">
        <f>B32+B56+B79</f>
        <v>1265270.25</v>
      </c>
      <c r="C8" s="53">
        <f aca="true" t="shared" si="1" ref="C8:M8">C32+C56+C79</f>
        <v>679923.77</v>
      </c>
      <c r="D8" s="53">
        <f t="shared" si="1"/>
        <v>374250.38</v>
      </c>
      <c r="E8" s="53">
        <f t="shared" si="1"/>
        <v>0</v>
      </c>
      <c r="F8" s="53">
        <f t="shared" si="1"/>
        <v>0</v>
      </c>
      <c r="G8" s="53">
        <f t="shared" si="1"/>
        <v>120919.69</v>
      </c>
      <c r="H8" s="53">
        <f t="shared" si="1"/>
        <v>0</v>
      </c>
      <c r="I8" s="53">
        <f t="shared" si="1"/>
        <v>666594.1000000001</v>
      </c>
      <c r="J8" s="53">
        <f t="shared" si="1"/>
        <v>1212771.05</v>
      </c>
      <c r="K8" s="53">
        <f t="shared" si="1"/>
        <v>1032625.6799999999</v>
      </c>
      <c r="L8" s="53">
        <f t="shared" si="1"/>
        <v>351959.1</v>
      </c>
      <c r="M8" s="53">
        <f t="shared" si="1"/>
        <v>570287.68</v>
      </c>
      <c r="N8" s="44">
        <f>SUM(B8:M8)</f>
        <v>6274601.699999999</v>
      </c>
      <c r="O8" s="54"/>
    </row>
    <row r="9" spans="1:15" s="53" customFormat="1" ht="11.25" outlineLevel="1">
      <c r="A9" s="53" t="s">
        <v>82</v>
      </c>
      <c r="B9" s="53">
        <f aca="true" t="shared" si="2" ref="B9:M10">B33+B57+B80</f>
        <v>198309.47</v>
      </c>
      <c r="C9" s="53">
        <f t="shared" si="2"/>
        <v>0</v>
      </c>
      <c r="D9" s="53">
        <f t="shared" si="2"/>
        <v>0</v>
      </c>
      <c r="E9" s="53">
        <f t="shared" si="2"/>
        <v>0</v>
      </c>
      <c r="F9" s="53">
        <f t="shared" si="2"/>
        <v>0</v>
      </c>
      <c r="G9" s="53">
        <f t="shared" si="2"/>
        <v>386366.84</v>
      </c>
      <c r="H9" s="53">
        <f t="shared" si="2"/>
        <v>0</v>
      </c>
      <c r="I9" s="53">
        <f t="shared" si="2"/>
        <v>307262.86</v>
      </c>
      <c r="J9" s="53">
        <f t="shared" si="2"/>
        <v>274366.11</v>
      </c>
      <c r="K9" s="53">
        <f t="shared" si="2"/>
        <v>0</v>
      </c>
      <c r="L9" s="53">
        <f t="shared" si="2"/>
        <v>0</v>
      </c>
      <c r="M9" s="53">
        <f t="shared" si="2"/>
        <v>0</v>
      </c>
      <c r="N9" s="44">
        <f>SUM(B9:M9)</f>
        <v>1166305.28</v>
      </c>
      <c r="O9" s="54"/>
    </row>
    <row r="10" spans="1:15" s="53" customFormat="1" ht="11.25" outlineLevel="1">
      <c r="A10" s="53" t="s">
        <v>83</v>
      </c>
      <c r="B10" s="53">
        <f t="shared" si="2"/>
        <v>0</v>
      </c>
      <c r="C10" s="53">
        <f t="shared" si="2"/>
        <v>0</v>
      </c>
      <c r="D10" s="53">
        <f t="shared" si="2"/>
        <v>0</v>
      </c>
      <c r="E10" s="53">
        <f t="shared" si="2"/>
        <v>0</v>
      </c>
      <c r="F10" s="53">
        <f t="shared" si="2"/>
        <v>0</v>
      </c>
      <c r="G10" s="53">
        <f t="shared" si="2"/>
        <v>101135.43</v>
      </c>
      <c r="H10" s="53">
        <f t="shared" si="2"/>
        <v>0</v>
      </c>
      <c r="I10" s="53">
        <f t="shared" si="2"/>
        <v>645026.25</v>
      </c>
      <c r="J10" s="53">
        <f t="shared" si="2"/>
        <v>0</v>
      </c>
      <c r="K10" s="53">
        <f t="shared" si="2"/>
        <v>10100</v>
      </c>
      <c r="L10" s="53">
        <f t="shared" si="2"/>
        <v>0</v>
      </c>
      <c r="M10" s="53">
        <f t="shared" si="2"/>
        <v>0</v>
      </c>
      <c r="N10" s="44">
        <f>SUM(B10:M10)</f>
        <v>756261.6799999999</v>
      </c>
      <c r="O10" s="54"/>
    </row>
    <row r="12" spans="1:14" ht="11.25">
      <c r="A12" s="43" t="s">
        <v>23</v>
      </c>
      <c r="B12" s="44">
        <f>SUM(B13:B13)</f>
        <v>0</v>
      </c>
      <c r="C12" s="44">
        <f>SUM(C13:C14)</f>
        <v>0</v>
      </c>
      <c r="D12" s="44">
        <f>SUM(D13:D13)</f>
        <v>0</v>
      </c>
      <c r="E12" s="44">
        <f>SUM(E13:E13)</f>
        <v>0</v>
      </c>
      <c r="F12" s="44">
        <f>SUM(F13:F13)</f>
        <v>0</v>
      </c>
      <c r="G12" s="44">
        <f>SUM(G13:G14)</f>
        <v>0</v>
      </c>
      <c r="H12" s="44">
        <f>SUM(H13:H13)</f>
        <v>0</v>
      </c>
      <c r="I12" s="44">
        <f>SUM(I13:I14)</f>
        <v>0</v>
      </c>
      <c r="J12" s="44">
        <f>SUM(J13:J13)</f>
        <v>0</v>
      </c>
      <c r="K12" s="44">
        <f>SUM(K13:K13)</f>
        <v>0</v>
      </c>
      <c r="L12" s="44">
        <f>SUM(L13:L14)</f>
        <v>0</v>
      </c>
      <c r="M12" s="44">
        <f>SUM(M13:M13)</f>
        <v>0</v>
      </c>
      <c r="N12" s="44">
        <f>SUM(B12:M12)</f>
        <v>0</v>
      </c>
    </row>
    <row r="13" spans="1:15" s="53" customFormat="1" ht="11.25" outlineLevel="1">
      <c r="A13" s="53" t="s">
        <v>81</v>
      </c>
      <c r="B13" s="53">
        <f aca="true" t="shared" si="3" ref="B13:M15">B37+B61+B84</f>
        <v>0</v>
      </c>
      <c r="C13" s="53">
        <f t="shared" si="3"/>
        <v>0</v>
      </c>
      <c r="D13" s="53">
        <f t="shared" si="3"/>
        <v>0</v>
      </c>
      <c r="E13" s="53">
        <f t="shared" si="3"/>
        <v>0</v>
      </c>
      <c r="F13" s="53">
        <f t="shared" si="3"/>
        <v>0</v>
      </c>
      <c r="G13" s="53">
        <f t="shared" si="3"/>
        <v>0</v>
      </c>
      <c r="H13" s="53">
        <f t="shared" si="3"/>
        <v>0</v>
      </c>
      <c r="I13" s="53">
        <f t="shared" si="3"/>
        <v>0</v>
      </c>
      <c r="J13" s="53">
        <f t="shared" si="3"/>
        <v>0</v>
      </c>
      <c r="K13" s="53">
        <f t="shared" si="3"/>
        <v>0</v>
      </c>
      <c r="L13" s="53">
        <f t="shared" si="3"/>
        <v>0</v>
      </c>
      <c r="M13" s="53">
        <f t="shared" si="3"/>
        <v>0</v>
      </c>
      <c r="N13" s="44">
        <f>SUM(B13:M13)</f>
        <v>0</v>
      </c>
      <c r="O13" s="54"/>
    </row>
    <row r="14" spans="1:15" s="53" customFormat="1" ht="11.25" outlineLevel="1">
      <c r="A14" s="53" t="s">
        <v>83</v>
      </c>
      <c r="B14" s="53">
        <f t="shared" si="3"/>
        <v>0</v>
      </c>
      <c r="C14" s="53">
        <f t="shared" si="3"/>
        <v>0</v>
      </c>
      <c r="D14" s="53">
        <f t="shared" si="3"/>
        <v>0</v>
      </c>
      <c r="E14" s="53">
        <f t="shared" si="3"/>
        <v>0</v>
      </c>
      <c r="F14" s="53">
        <f t="shared" si="3"/>
        <v>0</v>
      </c>
      <c r="G14" s="53">
        <f t="shared" si="3"/>
        <v>0</v>
      </c>
      <c r="H14" s="53">
        <f t="shared" si="3"/>
        <v>0</v>
      </c>
      <c r="I14" s="53">
        <f t="shared" si="3"/>
        <v>0</v>
      </c>
      <c r="J14" s="53">
        <f t="shared" si="3"/>
        <v>0</v>
      </c>
      <c r="K14" s="53">
        <f t="shared" si="3"/>
        <v>0</v>
      </c>
      <c r="L14" s="53">
        <f t="shared" si="3"/>
        <v>0</v>
      </c>
      <c r="M14" s="53">
        <f t="shared" si="3"/>
        <v>0</v>
      </c>
      <c r="N14" s="44">
        <f>SUM(B14:M14)</f>
        <v>0</v>
      </c>
      <c r="O14" s="54"/>
    </row>
    <row r="15" spans="1:15" s="53" customFormat="1" ht="11.25" outlineLevel="1">
      <c r="A15" s="53" t="s">
        <v>84</v>
      </c>
      <c r="B15" s="53">
        <f t="shared" si="3"/>
        <v>0</v>
      </c>
      <c r="C15" s="53">
        <f t="shared" si="3"/>
        <v>0</v>
      </c>
      <c r="D15" s="53">
        <f t="shared" si="3"/>
        <v>0</v>
      </c>
      <c r="E15" s="53">
        <f t="shared" si="3"/>
        <v>0</v>
      </c>
      <c r="F15" s="53">
        <f t="shared" si="3"/>
        <v>0</v>
      </c>
      <c r="G15" s="53">
        <f t="shared" si="3"/>
        <v>0</v>
      </c>
      <c r="H15" s="53">
        <f t="shared" si="3"/>
        <v>0</v>
      </c>
      <c r="I15" s="53">
        <f t="shared" si="3"/>
        <v>0</v>
      </c>
      <c r="J15" s="53">
        <f t="shared" si="3"/>
        <v>0</v>
      </c>
      <c r="K15" s="53">
        <f t="shared" si="3"/>
        <v>0</v>
      </c>
      <c r="L15" s="53">
        <f t="shared" si="3"/>
        <v>0</v>
      </c>
      <c r="M15" s="53">
        <f t="shared" si="3"/>
        <v>0</v>
      </c>
      <c r="N15" s="44">
        <f>SUM(B15:M15)</f>
        <v>0</v>
      </c>
      <c r="O15" s="54"/>
    </row>
    <row r="17" spans="1:14" ht="11.25">
      <c r="A17" s="43" t="s">
        <v>24</v>
      </c>
      <c r="B17" s="44">
        <f aca="true" t="shared" si="4" ref="B17:M17">SUM(B18:B19)</f>
        <v>985048.4099999999</v>
      </c>
      <c r="C17" s="44">
        <f t="shared" si="4"/>
        <v>220101.35</v>
      </c>
      <c r="D17" s="44">
        <f t="shared" si="4"/>
        <v>155590.85</v>
      </c>
      <c r="E17" s="44">
        <f t="shared" si="4"/>
        <v>0</v>
      </c>
      <c r="F17" s="44">
        <f t="shared" si="4"/>
        <v>126000</v>
      </c>
      <c r="G17" s="44">
        <f t="shared" si="4"/>
        <v>101453.24</v>
      </c>
      <c r="H17" s="44">
        <f t="shared" si="4"/>
        <v>0</v>
      </c>
      <c r="I17" s="44">
        <f t="shared" si="4"/>
        <v>1266847.8800000001</v>
      </c>
      <c r="J17" s="44">
        <f t="shared" si="4"/>
        <v>494555.27999999997</v>
      </c>
      <c r="K17" s="44">
        <f t="shared" si="4"/>
        <v>654110.3200000001</v>
      </c>
      <c r="L17" s="44">
        <f t="shared" si="4"/>
        <v>1287193.19</v>
      </c>
      <c r="M17" s="44">
        <f t="shared" si="4"/>
        <v>557492.74</v>
      </c>
      <c r="N17" s="44">
        <f>SUM(B17:M17)</f>
        <v>5848393.26</v>
      </c>
    </row>
    <row r="18" spans="1:15" s="53" customFormat="1" ht="11.25" outlineLevel="1">
      <c r="A18" s="53" t="s">
        <v>81</v>
      </c>
      <c r="B18" s="53">
        <f>B42+B65+B88</f>
        <v>985048.4099999999</v>
      </c>
      <c r="C18" s="53">
        <f aca="true" t="shared" si="5" ref="C18:M19">C42+C65+C88</f>
        <v>220101.35</v>
      </c>
      <c r="D18" s="53">
        <f t="shared" si="5"/>
        <v>155590.85</v>
      </c>
      <c r="E18" s="53">
        <f t="shared" si="5"/>
        <v>0</v>
      </c>
      <c r="F18" s="53">
        <f t="shared" si="5"/>
        <v>126000</v>
      </c>
      <c r="G18" s="53">
        <f t="shared" si="5"/>
        <v>101453.24</v>
      </c>
      <c r="H18" s="53">
        <f t="shared" si="5"/>
        <v>0</v>
      </c>
      <c r="I18" s="53">
        <f t="shared" si="5"/>
        <v>1266847.8800000001</v>
      </c>
      <c r="J18" s="53">
        <f t="shared" si="5"/>
        <v>494555.27999999997</v>
      </c>
      <c r="K18" s="53">
        <f t="shared" si="5"/>
        <v>654110.3200000001</v>
      </c>
      <c r="L18" s="53">
        <f t="shared" si="5"/>
        <v>1287193.19</v>
      </c>
      <c r="M18" s="53">
        <f t="shared" si="5"/>
        <v>557492.74</v>
      </c>
      <c r="N18" s="44">
        <f>SUM(B18:M18)</f>
        <v>5848393.26</v>
      </c>
      <c r="O18" s="54"/>
    </row>
    <row r="19" spans="1:15" s="53" customFormat="1" ht="11.25" outlineLevel="1">
      <c r="A19" s="53" t="s">
        <v>83</v>
      </c>
      <c r="B19" s="53">
        <f>B43+B66+B89</f>
        <v>0</v>
      </c>
      <c r="C19" s="53">
        <f t="shared" si="5"/>
        <v>0</v>
      </c>
      <c r="D19" s="53">
        <f t="shared" si="5"/>
        <v>0</v>
      </c>
      <c r="E19" s="53">
        <f t="shared" si="5"/>
        <v>0</v>
      </c>
      <c r="F19" s="53">
        <f t="shared" si="5"/>
        <v>0</v>
      </c>
      <c r="G19" s="53">
        <f t="shared" si="5"/>
        <v>0</v>
      </c>
      <c r="H19" s="53">
        <f t="shared" si="5"/>
        <v>0</v>
      </c>
      <c r="I19" s="53">
        <f t="shared" si="5"/>
        <v>0</v>
      </c>
      <c r="J19" s="53">
        <f t="shared" si="5"/>
        <v>0</v>
      </c>
      <c r="K19" s="53">
        <f t="shared" si="5"/>
        <v>0</v>
      </c>
      <c r="L19" s="53">
        <f t="shared" si="5"/>
        <v>0</v>
      </c>
      <c r="M19" s="53">
        <f t="shared" si="5"/>
        <v>0</v>
      </c>
      <c r="N19" s="44">
        <f>SUM(B19:M19)</f>
        <v>0</v>
      </c>
      <c r="O19" s="54"/>
    </row>
    <row r="20" spans="2:14" ht="11.25">
      <c r="B20" s="55"/>
      <c r="C20" s="55"/>
      <c r="D20" s="55"/>
      <c r="E20" s="55"/>
      <c r="F20" s="55"/>
      <c r="G20" s="55"/>
      <c r="H20" s="55"/>
      <c r="I20" s="55"/>
      <c r="J20" s="55"/>
      <c r="K20" s="55"/>
      <c r="L20" s="55"/>
      <c r="M20" s="55"/>
      <c r="N20" s="55"/>
    </row>
    <row r="21" spans="1:14" ht="12" thickBot="1">
      <c r="A21" s="43" t="s">
        <v>7</v>
      </c>
      <c r="B21" s="56">
        <f aca="true" t="shared" si="6" ref="B21:M21">B17+B12+B7</f>
        <v>2448628.13</v>
      </c>
      <c r="C21" s="56">
        <f t="shared" si="6"/>
        <v>900025.12</v>
      </c>
      <c r="D21" s="56">
        <f t="shared" si="6"/>
        <v>529841.23</v>
      </c>
      <c r="E21" s="56">
        <f t="shared" si="6"/>
        <v>0</v>
      </c>
      <c r="F21" s="56">
        <f t="shared" si="6"/>
        <v>126000</v>
      </c>
      <c r="G21" s="56">
        <f t="shared" si="6"/>
        <v>709875.2</v>
      </c>
      <c r="H21" s="56">
        <f t="shared" si="6"/>
        <v>0</v>
      </c>
      <c r="I21" s="56">
        <f t="shared" si="6"/>
        <v>2885731.09</v>
      </c>
      <c r="J21" s="56">
        <f t="shared" si="6"/>
        <v>1981692.4400000002</v>
      </c>
      <c r="K21" s="56">
        <f t="shared" si="6"/>
        <v>1696836</v>
      </c>
      <c r="L21" s="56">
        <f t="shared" si="6"/>
        <v>1639152.29</v>
      </c>
      <c r="M21" s="56">
        <f t="shared" si="6"/>
        <v>1127780.42</v>
      </c>
      <c r="N21" s="57">
        <f>SUM(B21:M21)</f>
        <v>14045561.92</v>
      </c>
    </row>
    <row r="22" ht="12" thickTop="1"/>
    <row r="24" ht="11.25">
      <c r="A24" s="43"/>
    </row>
    <row r="25" spans="1:14" ht="11.25">
      <c r="A25" s="43" t="s">
        <v>74</v>
      </c>
      <c r="H25" s="45"/>
      <c r="N25" s="46" t="s">
        <v>85</v>
      </c>
    </row>
    <row r="26" ht="11.25">
      <c r="A26" s="43" t="s">
        <v>86</v>
      </c>
    </row>
    <row r="27" ht="11.25">
      <c r="L27" s="48"/>
    </row>
    <row r="28" spans="1:14" ht="11.25">
      <c r="A28" s="43" t="s">
        <v>87</v>
      </c>
      <c r="B28" s="49"/>
      <c r="C28" s="49"/>
      <c r="D28" s="49"/>
      <c r="E28" s="49"/>
      <c r="F28" s="49"/>
      <c r="G28" s="49"/>
      <c r="H28" s="49" t="s">
        <v>1</v>
      </c>
      <c r="I28" s="49"/>
      <c r="J28" s="49"/>
      <c r="K28" s="49"/>
      <c r="L28" s="50" t="s">
        <v>29</v>
      </c>
      <c r="M28" s="49"/>
      <c r="N28" s="49" t="s">
        <v>96</v>
      </c>
    </row>
    <row r="29" spans="2:14" ht="11.25">
      <c r="B29" s="49" t="s">
        <v>2</v>
      </c>
      <c r="C29" s="49"/>
      <c r="D29" s="49" t="s">
        <v>3</v>
      </c>
      <c r="E29" s="49"/>
      <c r="F29" s="49"/>
      <c r="G29" s="49"/>
      <c r="H29" s="49" t="s">
        <v>4</v>
      </c>
      <c r="I29" s="49"/>
      <c r="J29" s="49" t="s">
        <v>5</v>
      </c>
      <c r="K29" s="49" t="s">
        <v>6</v>
      </c>
      <c r="L29" s="50" t="s">
        <v>30</v>
      </c>
      <c r="M29" s="49"/>
      <c r="N29" s="49" t="s">
        <v>7</v>
      </c>
    </row>
    <row r="30" spans="2:14" ht="11.25">
      <c r="B30" s="51" t="s">
        <v>8</v>
      </c>
      <c r="C30" s="51" t="s">
        <v>9</v>
      </c>
      <c r="D30" s="51" t="s">
        <v>10</v>
      </c>
      <c r="E30" s="51" t="s">
        <v>11</v>
      </c>
      <c r="F30" s="51" t="s">
        <v>12</v>
      </c>
      <c r="G30" s="51" t="s">
        <v>13</v>
      </c>
      <c r="H30" s="51" t="s">
        <v>10</v>
      </c>
      <c r="I30" s="51" t="s">
        <v>14</v>
      </c>
      <c r="J30" s="51" t="s">
        <v>15</v>
      </c>
      <c r="K30" s="51" t="s">
        <v>16</v>
      </c>
      <c r="L30" s="52" t="s">
        <v>10</v>
      </c>
      <c r="M30" s="51" t="s">
        <v>26</v>
      </c>
      <c r="N30" s="51" t="s">
        <v>8</v>
      </c>
    </row>
    <row r="31" spans="1:14" ht="11.25">
      <c r="A31" s="43" t="s">
        <v>25</v>
      </c>
      <c r="B31" s="44">
        <f aca="true" t="shared" si="7" ref="B31:M31">SUM(B32:B34)</f>
        <v>198309.47</v>
      </c>
      <c r="C31" s="44">
        <f t="shared" si="7"/>
        <v>610644.78</v>
      </c>
      <c r="D31" s="44">
        <f t="shared" si="7"/>
        <v>261717.78</v>
      </c>
      <c r="E31" s="44">
        <f t="shared" si="7"/>
        <v>0</v>
      </c>
      <c r="F31" s="44">
        <f t="shared" si="7"/>
        <v>0</v>
      </c>
      <c r="G31" s="44">
        <f t="shared" si="7"/>
        <v>462788.1</v>
      </c>
      <c r="H31" s="44">
        <f t="shared" si="7"/>
        <v>0</v>
      </c>
      <c r="I31" s="44">
        <f t="shared" si="7"/>
        <v>0</v>
      </c>
      <c r="J31" s="44">
        <f t="shared" si="7"/>
        <v>1168797.02</v>
      </c>
      <c r="K31" s="44">
        <f t="shared" si="7"/>
        <v>0</v>
      </c>
      <c r="L31" s="44">
        <f t="shared" si="7"/>
        <v>0</v>
      </c>
      <c r="M31" s="44">
        <f t="shared" si="7"/>
        <v>570287.68</v>
      </c>
      <c r="N31" s="44">
        <f>SUM(B31:M31)</f>
        <v>3272544.83</v>
      </c>
    </row>
    <row r="32" spans="1:15" s="53" customFormat="1" ht="11.25" outlineLevel="1">
      <c r="A32" s="53" t="s">
        <v>81</v>
      </c>
      <c r="C32" s="53">
        <f>24000+435+25187.42+6605.52+53269.69+47.2+6000+91.74+81.56+3150+227899.35+21751.06+88092.37+129804.38+24229.49</f>
        <v>610644.78</v>
      </c>
      <c r="D32" s="53">
        <v>261717.78</v>
      </c>
      <c r="G32" s="53">
        <v>3906.41</v>
      </c>
      <c r="J32" s="53">
        <f>576894.46+323866.01+2700</f>
        <v>903460.47</v>
      </c>
      <c r="M32" s="53">
        <f>53906.78+62031.1+196282.89+258066.91</f>
        <v>570287.68</v>
      </c>
      <c r="N32" s="44">
        <f>SUM(B32:M32)</f>
        <v>2350017.12</v>
      </c>
      <c r="O32" s="54"/>
    </row>
    <row r="33" spans="1:15" s="53" customFormat="1" ht="11.25" outlineLevel="1">
      <c r="A33" s="53" t="s">
        <v>82</v>
      </c>
      <c r="B33" s="53">
        <f>198309.47</f>
        <v>198309.47</v>
      </c>
      <c r="G33" s="53">
        <v>357746.26</v>
      </c>
      <c r="J33" s="53">
        <v>265336.55</v>
      </c>
      <c r="N33" s="44">
        <f>SUM(B33:M33)</f>
        <v>821392.28</v>
      </c>
      <c r="O33" s="54"/>
    </row>
    <row r="34" spans="1:15" s="53" customFormat="1" ht="11.25" outlineLevel="1">
      <c r="A34" s="53" t="s">
        <v>83</v>
      </c>
      <c r="G34" s="53">
        <v>101135.43</v>
      </c>
      <c r="N34" s="44">
        <f>SUM(B34:M34)</f>
        <v>101135.43</v>
      </c>
      <c r="O34" s="54"/>
    </row>
    <row r="36" spans="1:14" ht="11.25">
      <c r="A36" s="43" t="s">
        <v>23</v>
      </c>
      <c r="B36" s="44">
        <f>SUM(B37:B37)</f>
        <v>0</v>
      </c>
      <c r="C36" s="44">
        <f>SUM(C37:C38)</f>
        <v>0</v>
      </c>
      <c r="D36" s="44">
        <f>SUM(D37:D37)</f>
        <v>0</v>
      </c>
      <c r="E36" s="44">
        <f>SUM(E37:E37)</f>
        <v>0</v>
      </c>
      <c r="F36" s="44">
        <f>SUM(F37:F37)</f>
        <v>0</v>
      </c>
      <c r="G36" s="44">
        <f>SUM(G37:G38)</f>
        <v>0</v>
      </c>
      <c r="H36" s="44">
        <f aca="true" t="shared" si="8" ref="H36:M36">SUM(H37:H37)</f>
        <v>0</v>
      </c>
      <c r="I36" s="44">
        <f t="shared" si="8"/>
        <v>0</v>
      </c>
      <c r="J36" s="44">
        <f t="shared" si="8"/>
        <v>0</v>
      </c>
      <c r="K36" s="44">
        <f t="shared" si="8"/>
        <v>0</v>
      </c>
      <c r="L36" s="44">
        <f t="shared" si="8"/>
        <v>0</v>
      </c>
      <c r="M36" s="44">
        <f t="shared" si="8"/>
        <v>0</v>
      </c>
      <c r="N36" s="44">
        <f>SUM(B36:M36)</f>
        <v>0</v>
      </c>
    </row>
    <row r="37" spans="1:15" s="53" customFormat="1" ht="11.25" outlineLevel="1">
      <c r="A37" s="53" t="s">
        <v>81</v>
      </c>
      <c r="N37" s="44">
        <f>SUM(B37:M37)</f>
        <v>0</v>
      </c>
      <c r="O37" s="54"/>
    </row>
    <row r="38" spans="1:15" s="53" customFormat="1" ht="11.25" outlineLevel="1">
      <c r="A38" s="53" t="s">
        <v>83</v>
      </c>
      <c r="N38" s="44">
        <f>SUM(B38:M38)</f>
        <v>0</v>
      </c>
      <c r="O38" s="54"/>
    </row>
    <row r="39" spans="1:15" s="53" customFormat="1" ht="11.25" outlineLevel="1">
      <c r="A39" s="53" t="s">
        <v>84</v>
      </c>
      <c r="N39" s="44">
        <f>SUM(B39:M39)</f>
        <v>0</v>
      </c>
      <c r="O39" s="54"/>
    </row>
    <row r="41" spans="1:14" ht="11.25">
      <c r="A41" s="43" t="s">
        <v>24</v>
      </c>
      <c r="B41" s="44">
        <f aca="true" t="shared" si="9" ref="B41:M41">SUM(B42:B43)</f>
        <v>0</v>
      </c>
      <c r="C41" s="44">
        <f t="shared" si="9"/>
        <v>0</v>
      </c>
      <c r="D41" s="44">
        <f t="shared" si="9"/>
        <v>0</v>
      </c>
      <c r="E41" s="44">
        <f t="shared" si="9"/>
        <v>0</v>
      </c>
      <c r="F41" s="44">
        <f t="shared" si="9"/>
        <v>0</v>
      </c>
      <c r="G41" s="44">
        <f t="shared" si="9"/>
        <v>0</v>
      </c>
      <c r="H41" s="44">
        <f t="shared" si="9"/>
        <v>0</v>
      </c>
      <c r="I41" s="44">
        <f t="shared" si="9"/>
        <v>0</v>
      </c>
      <c r="J41" s="44">
        <f t="shared" si="9"/>
        <v>364203.25</v>
      </c>
      <c r="K41" s="44">
        <f t="shared" si="9"/>
        <v>0</v>
      </c>
      <c r="L41" s="44">
        <f t="shared" si="9"/>
        <v>1093142.22</v>
      </c>
      <c r="M41" s="44">
        <f t="shared" si="9"/>
        <v>77490</v>
      </c>
      <c r="N41" s="44">
        <f>SUM(B41:M41)</f>
        <v>1534835.47</v>
      </c>
    </row>
    <row r="42" spans="1:15" s="53" customFormat="1" ht="11.25" outlineLevel="1">
      <c r="A42" s="53" t="s">
        <v>81</v>
      </c>
      <c r="J42" s="53">
        <f>12105.44+52097.81+300000</f>
        <v>364203.25</v>
      </c>
      <c r="L42" s="53">
        <v>1093142.22</v>
      </c>
      <c r="M42" s="53">
        <v>77490</v>
      </c>
      <c r="N42" s="44">
        <f>SUM(B42:M42)</f>
        <v>1534835.47</v>
      </c>
      <c r="O42" s="54"/>
    </row>
    <row r="43" spans="1:15" s="53" customFormat="1" ht="11.25" outlineLevel="1">
      <c r="A43" s="53" t="s">
        <v>83</v>
      </c>
      <c r="N43" s="44">
        <f>SUM(B43:M43)</f>
        <v>0</v>
      </c>
      <c r="O43" s="54"/>
    </row>
    <row r="44" spans="2:14" ht="11.25">
      <c r="B44" s="55"/>
      <c r="C44" s="55"/>
      <c r="D44" s="55"/>
      <c r="E44" s="55"/>
      <c r="F44" s="55"/>
      <c r="G44" s="55"/>
      <c r="H44" s="55"/>
      <c r="I44" s="55"/>
      <c r="J44" s="55"/>
      <c r="K44" s="55"/>
      <c r="L44" s="55"/>
      <c r="M44" s="55"/>
      <c r="N44" s="55"/>
    </row>
    <row r="45" spans="1:14" ht="12" thickBot="1">
      <c r="A45" s="43" t="s">
        <v>7</v>
      </c>
      <c r="B45" s="56">
        <f aca="true" t="shared" si="10" ref="B45:M45">B41+B36+B31</f>
        <v>198309.47</v>
      </c>
      <c r="C45" s="56">
        <f t="shared" si="10"/>
        <v>610644.78</v>
      </c>
      <c r="D45" s="56">
        <f t="shared" si="10"/>
        <v>261717.78</v>
      </c>
      <c r="E45" s="56">
        <f t="shared" si="10"/>
        <v>0</v>
      </c>
      <c r="F45" s="56">
        <f t="shared" si="10"/>
        <v>0</v>
      </c>
      <c r="G45" s="56">
        <f t="shared" si="10"/>
        <v>462788.1</v>
      </c>
      <c r="H45" s="56">
        <f t="shared" si="10"/>
        <v>0</v>
      </c>
      <c r="I45" s="56">
        <f t="shared" si="10"/>
        <v>0</v>
      </c>
      <c r="J45" s="56">
        <f t="shared" si="10"/>
        <v>1533000.27</v>
      </c>
      <c r="K45" s="56">
        <f t="shared" si="10"/>
        <v>0</v>
      </c>
      <c r="L45" s="56">
        <f t="shared" si="10"/>
        <v>1093142.22</v>
      </c>
      <c r="M45" s="56">
        <f t="shared" si="10"/>
        <v>647777.68</v>
      </c>
      <c r="N45" s="57">
        <f>SUM(B45:M45)</f>
        <v>4807380.3</v>
      </c>
    </row>
    <row r="46" spans="2:14" ht="12" thickTop="1">
      <c r="B46" s="48"/>
      <c r="C46" s="48"/>
      <c r="D46" s="48"/>
      <c r="E46" s="48"/>
      <c r="F46" s="48"/>
      <c r="G46" s="48"/>
      <c r="H46" s="48"/>
      <c r="I46" s="48"/>
      <c r="J46" s="48"/>
      <c r="N46" s="48"/>
    </row>
    <row r="47" spans="2:14" ht="11.25">
      <c r="B47" s="48"/>
      <c r="C47" s="48"/>
      <c r="D47" s="48"/>
      <c r="E47" s="48"/>
      <c r="F47" s="48"/>
      <c r="G47" s="48"/>
      <c r="H47" s="48"/>
      <c r="I47" s="48"/>
      <c r="J47" s="48"/>
      <c r="N47" s="48"/>
    </row>
    <row r="48" spans="2:14" ht="11.25">
      <c r="B48" s="48"/>
      <c r="C48" s="48"/>
      <c r="D48" s="48"/>
      <c r="E48" s="48"/>
      <c r="F48" s="48"/>
      <c r="G48" s="48"/>
      <c r="H48" s="48"/>
      <c r="I48" s="48"/>
      <c r="J48" s="48"/>
      <c r="L48" s="48"/>
      <c r="M48" s="48"/>
      <c r="N48" s="48"/>
    </row>
    <row r="49" spans="1:14" ht="11.25">
      <c r="A49" s="43" t="s">
        <v>74</v>
      </c>
      <c r="H49" s="45"/>
      <c r="N49" s="46" t="s">
        <v>88</v>
      </c>
    </row>
    <row r="50" ht="11.25">
      <c r="A50" s="43" t="s">
        <v>32</v>
      </c>
    </row>
    <row r="51" ht="11.25">
      <c r="L51" s="48"/>
    </row>
    <row r="52" spans="1:14" ht="11.25">
      <c r="A52" s="43" t="s">
        <v>89</v>
      </c>
      <c r="B52" s="49"/>
      <c r="C52" s="49"/>
      <c r="D52" s="49"/>
      <c r="E52" s="49"/>
      <c r="F52" s="49"/>
      <c r="G52" s="49"/>
      <c r="H52" s="49" t="s">
        <v>1</v>
      </c>
      <c r="I52" s="49"/>
      <c r="J52" s="49"/>
      <c r="K52" s="49"/>
      <c r="L52" s="50" t="s">
        <v>29</v>
      </c>
      <c r="M52" s="49"/>
      <c r="N52" s="49" t="s">
        <v>96</v>
      </c>
    </row>
    <row r="53" spans="2:14" ht="11.25">
      <c r="B53" s="49" t="s">
        <v>2</v>
      </c>
      <c r="C53" s="49"/>
      <c r="D53" s="49" t="s">
        <v>3</v>
      </c>
      <c r="E53" s="49"/>
      <c r="F53" s="49"/>
      <c r="G53" s="49"/>
      <c r="H53" s="49" t="s">
        <v>4</v>
      </c>
      <c r="I53" s="49"/>
      <c r="J53" s="49" t="s">
        <v>5</v>
      </c>
      <c r="K53" s="49" t="s">
        <v>6</v>
      </c>
      <c r="L53" s="50" t="s">
        <v>30</v>
      </c>
      <c r="M53" s="49"/>
      <c r="N53" s="49" t="s">
        <v>7</v>
      </c>
    </row>
    <row r="54" spans="2:14" ht="11.25">
      <c r="B54" s="51" t="s">
        <v>8</v>
      </c>
      <c r="C54" s="51" t="s">
        <v>9</v>
      </c>
      <c r="D54" s="51" t="s">
        <v>10</v>
      </c>
      <c r="E54" s="51" t="s">
        <v>11</v>
      </c>
      <c r="F54" s="51" t="s">
        <v>12</v>
      </c>
      <c r="G54" s="51" t="s">
        <v>13</v>
      </c>
      <c r="H54" s="51" t="s">
        <v>10</v>
      </c>
      <c r="I54" s="51" t="s">
        <v>14</v>
      </c>
      <c r="J54" s="51" t="s">
        <v>15</v>
      </c>
      <c r="K54" s="51" t="s">
        <v>16</v>
      </c>
      <c r="L54" s="52" t="s">
        <v>10</v>
      </c>
      <c r="M54" s="51" t="s">
        <v>26</v>
      </c>
      <c r="N54" s="51" t="s">
        <v>8</v>
      </c>
    </row>
    <row r="55" spans="1:14" ht="11.25">
      <c r="A55" s="43" t="s">
        <v>25</v>
      </c>
      <c r="B55" s="44">
        <f aca="true" t="shared" si="11" ref="B55:M55">SUM(B56:B58)</f>
        <v>-222930.92999999993</v>
      </c>
      <c r="C55" s="44">
        <f t="shared" si="11"/>
        <v>69278.99</v>
      </c>
      <c r="D55" s="44">
        <f t="shared" si="11"/>
        <v>112532.6</v>
      </c>
      <c r="E55" s="44">
        <f t="shared" si="11"/>
        <v>0</v>
      </c>
      <c r="F55" s="44">
        <f t="shared" si="11"/>
        <v>0</v>
      </c>
      <c r="G55" s="44">
        <f t="shared" si="11"/>
        <v>83071.70999999999</v>
      </c>
      <c r="H55" s="44">
        <f t="shared" si="11"/>
        <v>0</v>
      </c>
      <c r="I55" s="44">
        <f t="shared" si="11"/>
        <v>1606663.9100000001</v>
      </c>
      <c r="J55" s="44">
        <f t="shared" si="11"/>
        <v>163684.85</v>
      </c>
      <c r="K55" s="44">
        <f t="shared" si="11"/>
        <v>1042725.6799999999</v>
      </c>
      <c r="L55" s="44">
        <f t="shared" si="11"/>
        <v>351959.1</v>
      </c>
      <c r="M55" s="44">
        <f t="shared" si="11"/>
        <v>0</v>
      </c>
      <c r="N55" s="44">
        <f>SUM(B55:M55)</f>
        <v>3206985.9100000006</v>
      </c>
    </row>
    <row r="56" spans="1:15" s="53" customFormat="1" ht="11.25" outlineLevel="1">
      <c r="A56" s="53" t="s">
        <v>81</v>
      </c>
      <c r="B56" s="53">
        <f>6071.78+309729.11-538731.82</f>
        <v>-222930.92999999993</v>
      </c>
      <c r="C56" s="53">
        <f>15000+25990+28288.99</f>
        <v>69278.99</v>
      </c>
      <c r="D56" s="53">
        <f>43136.01+69396.59</f>
        <v>112532.6</v>
      </c>
      <c r="G56" s="53">
        <f>31251.26+23199.87</f>
        <v>54451.13</v>
      </c>
      <c r="I56" s="53">
        <f>600000-265544.81+48877.2+2500+128068.41+19798.5+120675.5</f>
        <v>654374.8</v>
      </c>
      <c r="J56" s="53">
        <v>154655.29</v>
      </c>
      <c r="K56" s="53">
        <f>35606.18+22041.8+134444.6+840533.1</f>
        <v>1032625.6799999999</v>
      </c>
      <c r="L56" s="53">
        <f>100270.23+79948.51+18721+153019.36</f>
        <v>351959.1</v>
      </c>
      <c r="N56" s="44">
        <f>SUM(B56:M56)</f>
        <v>2206946.66</v>
      </c>
      <c r="O56" s="54"/>
    </row>
    <row r="57" spans="1:15" s="53" customFormat="1" ht="11.25" outlineLevel="1">
      <c r="A57" s="53" t="s">
        <v>82</v>
      </c>
      <c r="G57" s="53">
        <v>28620.58</v>
      </c>
      <c r="I57" s="53">
        <v>307262.86</v>
      </c>
      <c r="J57" s="53">
        <v>9029.56</v>
      </c>
      <c r="N57" s="44">
        <f>SUM(B57:M57)</f>
        <v>344913</v>
      </c>
      <c r="O57" s="54"/>
    </row>
    <row r="58" spans="1:15" s="53" customFormat="1" ht="11.25" outlineLevel="1">
      <c r="A58" s="53" t="s">
        <v>83</v>
      </c>
      <c r="I58" s="53">
        <v>645026.25</v>
      </c>
      <c r="K58" s="53">
        <v>10100</v>
      </c>
      <c r="N58" s="44">
        <f>SUM(B58:M58)</f>
        <v>655126.25</v>
      </c>
      <c r="O58" s="54"/>
    </row>
    <row r="60" spans="1:14" ht="11.25">
      <c r="A60" s="43" t="s">
        <v>23</v>
      </c>
      <c r="B60" s="44">
        <f>SUM(B61:B61)</f>
        <v>0</v>
      </c>
      <c r="C60" s="44">
        <f>SUM(C61:C62)</f>
        <v>0</v>
      </c>
      <c r="D60" s="44">
        <f>SUM(D61:D61)</f>
        <v>0</v>
      </c>
      <c r="E60" s="44">
        <f>SUM(E61:E61)</f>
        <v>0</v>
      </c>
      <c r="F60" s="44">
        <f>SUM(F61:F61)</f>
        <v>0</v>
      </c>
      <c r="G60" s="44">
        <f>SUM(G61:G61)</f>
        <v>0</v>
      </c>
      <c r="H60" s="44">
        <f>SUM(H61:H61)</f>
        <v>0</v>
      </c>
      <c r="I60" s="44">
        <f>SUM(I61:I62)</f>
        <v>0</v>
      </c>
      <c r="J60" s="44">
        <f>SUM(J61:J61)</f>
        <v>0</v>
      </c>
      <c r="K60" s="44">
        <f>SUM(K61:K61)</f>
        <v>0</v>
      </c>
      <c r="L60" s="44">
        <f>SUM(L61:L62)</f>
        <v>0</v>
      </c>
      <c r="M60" s="44">
        <f>SUM(M61:M61)</f>
        <v>0</v>
      </c>
      <c r="N60" s="44">
        <f>SUM(B60:M60)</f>
        <v>0</v>
      </c>
    </row>
    <row r="61" spans="1:15" s="53" customFormat="1" ht="11.25" outlineLevel="1">
      <c r="A61" s="53" t="s">
        <v>81</v>
      </c>
      <c r="N61" s="44">
        <f>SUM(B61:M61)</f>
        <v>0</v>
      </c>
      <c r="O61" s="54"/>
    </row>
    <row r="62" spans="1:15" s="53" customFormat="1" ht="11.25" outlineLevel="1">
      <c r="A62" s="53" t="s">
        <v>83</v>
      </c>
      <c r="N62" s="44">
        <f>SUM(B62:M62)</f>
        <v>0</v>
      </c>
      <c r="O62" s="54"/>
    </row>
    <row r="64" spans="1:14" ht="11.25">
      <c r="A64" s="43" t="s">
        <v>24</v>
      </c>
      <c r="B64" s="44">
        <f aca="true" t="shared" si="12" ref="B64:M64">SUM(B65:B66)</f>
        <v>735333.96</v>
      </c>
      <c r="C64" s="44">
        <f t="shared" si="12"/>
        <v>220101.35</v>
      </c>
      <c r="D64" s="44">
        <f t="shared" si="12"/>
        <v>155590.85</v>
      </c>
      <c r="E64" s="44">
        <f t="shared" si="12"/>
        <v>0</v>
      </c>
      <c r="F64" s="44">
        <f t="shared" si="12"/>
        <v>126000</v>
      </c>
      <c r="G64" s="44">
        <f t="shared" si="12"/>
        <v>0</v>
      </c>
      <c r="H64" s="44">
        <f t="shared" si="12"/>
        <v>0</v>
      </c>
      <c r="I64" s="44">
        <f t="shared" si="12"/>
        <v>1262937.31</v>
      </c>
      <c r="J64" s="44">
        <f t="shared" si="12"/>
        <v>66148.79</v>
      </c>
      <c r="K64" s="44">
        <f t="shared" si="12"/>
        <v>654110.3200000001</v>
      </c>
      <c r="L64" s="44">
        <f t="shared" si="12"/>
        <v>194050.97</v>
      </c>
      <c r="M64" s="44">
        <f t="shared" si="12"/>
        <v>480002.74</v>
      </c>
      <c r="N64" s="44">
        <f>SUM(B64:M64)</f>
        <v>3894276.29</v>
      </c>
    </row>
    <row r="65" spans="1:15" s="53" customFormat="1" ht="11.25" outlineLevel="1">
      <c r="A65" s="53" t="s">
        <v>81</v>
      </c>
      <c r="B65" s="53">
        <f>541035.53+37631.44-190+81115.27+75741.72</f>
        <v>735333.96</v>
      </c>
      <c r="C65" s="53">
        <v>220101.35</v>
      </c>
      <c r="D65" s="53">
        <f>154420.85+1170</f>
        <v>155590.85</v>
      </c>
      <c r="F65" s="53">
        <v>126000</v>
      </c>
      <c r="I65" s="53">
        <f>200000+228258.53+36493.1+15642.28+185303.5+12252.5+40287.61+544699.79</f>
        <v>1262937.31</v>
      </c>
      <c r="J65" s="53">
        <f>12472.26+53676.53</f>
        <v>66148.79</v>
      </c>
      <c r="K65" s="53">
        <f>-2338.43-39094.14+72361.53+146581.51-5476.23+9763+2369.93+39091.14+22181.94+5803.92+17815+18685.04+42327.25+47770.56+66889.91+12132.95+83834.1+62069.74+22938+28403.6</f>
        <v>654110.3200000001</v>
      </c>
      <c r="L65" s="53">
        <f>120898+73152.97</f>
        <v>194050.97</v>
      </c>
      <c r="M65" s="53">
        <f>4233.14+47820.97+116656.17+311292.46</f>
        <v>480002.74</v>
      </c>
      <c r="N65" s="44">
        <f>SUM(B65:M65)</f>
        <v>3894276.29</v>
      </c>
      <c r="O65" s="54"/>
    </row>
    <row r="66" spans="1:15" s="53" customFormat="1" ht="11.25" outlineLevel="1">
      <c r="A66" s="53" t="s">
        <v>83</v>
      </c>
      <c r="N66" s="44">
        <f>SUM(B66:M66)</f>
        <v>0</v>
      </c>
      <c r="O66" s="54"/>
    </row>
    <row r="67" spans="2:14" ht="11.25">
      <c r="B67" s="55"/>
      <c r="C67" s="55"/>
      <c r="D67" s="55"/>
      <c r="E67" s="55"/>
      <c r="F67" s="55"/>
      <c r="G67" s="55"/>
      <c r="H67" s="55"/>
      <c r="I67" s="55"/>
      <c r="J67" s="55"/>
      <c r="K67" s="55"/>
      <c r="L67" s="55"/>
      <c r="M67" s="55"/>
      <c r="N67" s="55"/>
    </row>
    <row r="68" spans="1:14" ht="12" thickBot="1">
      <c r="A68" s="43" t="s">
        <v>7</v>
      </c>
      <c r="B68" s="56">
        <f aca="true" t="shared" si="13" ref="B68:M68">B64+B60+B55</f>
        <v>512403.03</v>
      </c>
      <c r="C68" s="56">
        <f t="shared" si="13"/>
        <v>289380.34</v>
      </c>
      <c r="D68" s="56">
        <f t="shared" si="13"/>
        <v>268123.45</v>
      </c>
      <c r="E68" s="56">
        <f t="shared" si="13"/>
        <v>0</v>
      </c>
      <c r="F68" s="56">
        <f t="shared" si="13"/>
        <v>126000</v>
      </c>
      <c r="G68" s="56">
        <f t="shared" si="13"/>
        <v>83071.70999999999</v>
      </c>
      <c r="H68" s="56">
        <f t="shared" si="13"/>
        <v>0</v>
      </c>
      <c r="I68" s="56">
        <f t="shared" si="13"/>
        <v>2869601.22</v>
      </c>
      <c r="J68" s="56">
        <f t="shared" si="13"/>
        <v>229833.64</v>
      </c>
      <c r="K68" s="56">
        <f t="shared" si="13"/>
        <v>1696836</v>
      </c>
      <c r="L68" s="56">
        <f t="shared" si="13"/>
        <v>546010.07</v>
      </c>
      <c r="M68" s="56">
        <f t="shared" si="13"/>
        <v>480002.74</v>
      </c>
      <c r="N68" s="56">
        <f>SUM(B68:M68)</f>
        <v>7101262.2</v>
      </c>
    </row>
    <row r="69" ht="11.25" customHeight="1" thickTop="1"/>
    <row r="72" spans="1:14" ht="11.25">
      <c r="A72" s="43" t="s">
        <v>74</v>
      </c>
      <c r="H72" s="45"/>
      <c r="N72" s="46" t="s">
        <v>90</v>
      </c>
    </row>
    <row r="73" ht="11.25">
      <c r="A73" s="43" t="s">
        <v>28</v>
      </c>
    </row>
    <row r="74" ht="11.25">
      <c r="L74" s="48"/>
    </row>
    <row r="75" spans="1:14" ht="11.25">
      <c r="A75" s="43" t="s">
        <v>89</v>
      </c>
      <c r="B75" s="49"/>
      <c r="C75" s="49"/>
      <c r="D75" s="49"/>
      <c r="E75" s="49"/>
      <c r="F75" s="49"/>
      <c r="G75" s="49"/>
      <c r="H75" s="49" t="s">
        <v>1</v>
      </c>
      <c r="I75" s="49"/>
      <c r="J75" s="49"/>
      <c r="K75" s="49"/>
      <c r="L75" s="50" t="s">
        <v>29</v>
      </c>
      <c r="M75" s="49"/>
      <c r="N75" s="49" t="s">
        <v>96</v>
      </c>
    </row>
    <row r="76" spans="2:14" ht="11.25">
      <c r="B76" s="49" t="s">
        <v>2</v>
      </c>
      <c r="C76" s="49"/>
      <c r="D76" s="49" t="s">
        <v>3</v>
      </c>
      <c r="E76" s="49"/>
      <c r="F76" s="49"/>
      <c r="G76" s="49"/>
      <c r="H76" s="49" t="s">
        <v>4</v>
      </c>
      <c r="I76" s="49"/>
      <c r="J76" s="49" t="s">
        <v>5</v>
      </c>
      <c r="K76" s="49" t="s">
        <v>6</v>
      </c>
      <c r="L76" s="50" t="s">
        <v>30</v>
      </c>
      <c r="M76" s="49"/>
      <c r="N76" s="49" t="s">
        <v>7</v>
      </c>
    </row>
    <row r="77" spans="2:14" ht="11.25">
      <c r="B77" s="51" t="s">
        <v>8</v>
      </c>
      <c r="C77" s="51" t="s">
        <v>9</v>
      </c>
      <c r="D77" s="51" t="s">
        <v>10</v>
      </c>
      <c r="E77" s="51" t="s">
        <v>11</v>
      </c>
      <c r="F77" s="51" t="s">
        <v>12</v>
      </c>
      <c r="G77" s="51" t="s">
        <v>13</v>
      </c>
      <c r="H77" s="51" t="s">
        <v>10</v>
      </c>
      <c r="I77" s="51" t="s">
        <v>14</v>
      </c>
      <c r="J77" s="51" t="s">
        <v>15</v>
      </c>
      <c r="K77" s="51" t="s">
        <v>16</v>
      </c>
      <c r="L77" s="52" t="s">
        <v>10</v>
      </c>
      <c r="M77" s="51" t="s">
        <v>26</v>
      </c>
      <c r="N77" s="51" t="s">
        <v>8</v>
      </c>
    </row>
    <row r="78" spans="1:14" ht="11.25">
      <c r="A78" s="43" t="s">
        <v>25</v>
      </c>
      <c r="B78" s="44">
        <f aca="true" t="shared" si="14" ref="B78:M78">SUM(B79:B81)</f>
        <v>1488201.18</v>
      </c>
      <c r="C78" s="44">
        <f t="shared" si="14"/>
        <v>0</v>
      </c>
      <c r="D78" s="44">
        <f t="shared" si="14"/>
        <v>0</v>
      </c>
      <c r="E78" s="44">
        <f t="shared" si="14"/>
        <v>0</v>
      </c>
      <c r="F78" s="44">
        <f t="shared" si="14"/>
        <v>0</v>
      </c>
      <c r="G78" s="44">
        <f t="shared" si="14"/>
        <v>62562.15</v>
      </c>
      <c r="H78" s="44">
        <f t="shared" si="14"/>
        <v>0</v>
      </c>
      <c r="I78" s="44">
        <f t="shared" si="14"/>
        <v>12219.3</v>
      </c>
      <c r="J78" s="44">
        <f t="shared" si="14"/>
        <v>154655.29</v>
      </c>
      <c r="K78" s="44">
        <f t="shared" si="14"/>
        <v>0</v>
      </c>
      <c r="L78" s="44">
        <f t="shared" si="14"/>
        <v>0</v>
      </c>
      <c r="M78" s="44">
        <f t="shared" si="14"/>
        <v>0</v>
      </c>
      <c r="N78" s="44">
        <f>SUM(B78:M78)</f>
        <v>1717637.92</v>
      </c>
    </row>
    <row r="79" spans="1:15" s="53" customFormat="1" ht="11.25" outlineLevel="1">
      <c r="A79" s="53" t="s">
        <v>81</v>
      </c>
      <c r="B79" s="53">
        <f>94650.03+4158.57+78113.15+122762.55+20391.71+134620.81+223147.88+14061.64+115688.08+3103+240.2+106529.87+235524.21+4079.6+3082.75+218328.26+21248.2+65073.4+23397.27</f>
        <v>1488201.18</v>
      </c>
      <c r="G79" s="53">
        <f>3906.41+54133.03+4522.71</f>
        <v>62562.15</v>
      </c>
      <c r="I79" s="53">
        <v>12219.3</v>
      </c>
      <c r="J79" s="53">
        <f>154655.29</f>
        <v>154655.29</v>
      </c>
      <c r="N79" s="44">
        <f>SUM(B79:M79)</f>
        <v>1717637.92</v>
      </c>
      <c r="O79" s="54"/>
    </row>
    <row r="80" spans="1:15" s="53" customFormat="1" ht="11.25" outlineLevel="1">
      <c r="A80" s="53" t="s">
        <v>82</v>
      </c>
      <c r="N80" s="44">
        <f>SUM(B80:M80)</f>
        <v>0</v>
      </c>
      <c r="O80" s="54"/>
    </row>
    <row r="81" spans="1:15" s="53" customFormat="1" ht="11.25" outlineLevel="1">
      <c r="A81" s="53" t="s">
        <v>83</v>
      </c>
      <c r="N81" s="44">
        <f>SUM(B81:M81)</f>
        <v>0</v>
      </c>
      <c r="O81" s="54"/>
    </row>
    <row r="83" spans="1:14" ht="11.25">
      <c r="A83" s="43" t="s">
        <v>23</v>
      </c>
      <c r="B83" s="44">
        <f>SUM(B84:B84)</f>
        <v>0</v>
      </c>
      <c r="C83" s="44">
        <f>SUM(C84:C85)</f>
        <v>0</v>
      </c>
      <c r="D83" s="44">
        <f aca="true" t="shared" si="15" ref="D83:M83">SUM(D84:D84)</f>
        <v>0</v>
      </c>
      <c r="E83" s="44">
        <f t="shared" si="15"/>
        <v>0</v>
      </c>
      <c r="F83" s="44">
        <f t="shared" si="15"/>
        <v>0</v>
      </c>
      <c r="G83" s="44">
        <f t="shared" si="15"/>
        <v>0</v>
      </c>
      <c r="H83" s="44">
        <f t="shared" si="15"/>
        <v>0</v>
      </c>
      <c r="I83" s="44">
        <f t="shared" si="15"/>
        <v>0</v>
      </c>
      <c r="J83" s="44">
        <f t="shared" si="15"/>
        <v>0</v>
      </c>
      <c r="K83" s="44">
        <f t="shared" si="15"/>
        <v>0</v>
      </c>
      <c r="L83" s="44">
        <f t="shared" si="15"/>
        <v>0</v>
      </c>
      <c r="M83" s="44">
        <f t="shared" si="15"/>
        <v>0</v>
      </c>
      <c r="N83" s="44">
        <f>SUM(B83:M83)</f>
        <v>0</v>
      </c>
    </row>
    <row r="84" spans="1:15" s="53" customFormat="1" ht="11.25" outlineLevel="1">
      <c r="A84" s="53" t="s">
        <v>81</v>
      </c>
      <c r="N84" s="44">
        <f>SUM(B84:M84)</f>
        <v>0</v>
      </c>
      <c r="O84" s="54"/>
    </row>
    <row r="85" spans="1:15" s="53" customFormat="1" ht="11.25" outlineLevel="1">
      <c r="A85" s="53" t="s">
        <v>83</v>
      </c>
      <c r="N85" s="44">
        <f>SUM(B85:M85)</f>
        <v>0</v>
      </c>
      <c r="O85" s="54"/>
    </row>
    <row r="87" spans="1:14" ht="11.25">
      <c r="A87" s="43" t="s">
        <v>24</v>
      </c>
      <c r="B87" s="44">
        <f aca="true" t="shared" si="16" ref="B87:M87">SUM(B88:B89)</f>
        <v>249714.45</v>
      </c>
      <c r="C87" s="44">
        <f t="shared" si="16"/>
        <v>0</v>
      </c>
      <c r="D87" s="44">
        <f t="shared" si="16"/>
        <v>0</v>
      </c>
      <c r="E87" s="44">
        <f t="shared" si="16"/>
        <v>0</v>
      </c>
      <c r="F87" s="44">
        <f t="shared" si="16"/>
        <v>0</v>
      </c>
      <c r="G87" s="44">
        <f t="shared" si="16"/>
        <v>101453.24</v>
      </c>
      <c r="H87" s="44">
        <f t="shared" si="16"/>
        <v>0</v>
      </c>
      <c r="I87" s="44">
        <f t="shared" si="16"/>
        <v>3910.57</v>
      </c>
      <c r="J87" s="44">
        <f t="shared" si="16"/>
        <v>64203.240000000005</v>
      </c>
      <c r="K87" s="44">
        <f t="shared" si="16"/>
        <v>0</v>
      </c>
      <c r="L87" s="44">
        <f t="shared" si="16"/>
        <v>0</v>
      </c>
      <c r="M87" s="44">
        <f t="shared" si="16"/>
        <v>0</v>
      </c>
      <c r="N87" s="44">
        <f>SUM(B87:M87)</f>
        <v>419281.5</v>
      </c>
    </row>
    <row r="88" spans="1:15" s="53" customFormat="1" ht="11.25" outlineLevel="1">
      <c r="A88" s="53" t="s">
        <v>81</v>
      </c>
      <c r="B88" s="53">
        <f>43198.61+57813.03+145939.81+2763</f>
        <v>249714.45</v>
      </c>
      <c r="G88" s="53">
        <v>101453.24</v>
      </c>
      <c r="I88" s="53">
        <v>3910.57</v>
      </c>
      <c r="J88" s="53">
        <f>12105.44+52097.8</f>
        <v>64203.240000000005</v>
      </c>
      <c r="N88" s="44">
        <f>SUM(B88:M88)</f>
        <v>419281.5</v>
      </c>
      <c r="O88" s="54"/>
    </row>
    <row r="89" spans="1:15" s="53" customFormat="1" ht="11.25" outlineLevel="1">
      <c r="A89" s="53" t="s">
        <v>83</v>
      </c>
      <c r="N89" s="44">
        <f>SUM(B89:M89)</f>
        <v>0</v>
      </c>
      <c r="O89" s="54"/>
    </row>
    <row r="90" spans="2:14" ht="11.25">
      <c r="B90" s="55"/>
      <c r="C90" s="55"/>
      <c r="D90" s="55"/>
      <c r="E90" s="55"/>
      <c r="F90" s="55"/>
      <c r="G90" s="55"/>
      <c r="H90" s="55"/>
      <c r="I90" s="55"/>
      <c r="J90" s="55"/>
      <c r="K90" s="55"/>
      <c r="L90" s="55"/>
      <c r="M90" s="55"/>
      <c r="N90" s="55"/>
    </row>
    <row r="91" spans="1:14" ht="12" thickBot="1">
      <c r="A91" s="43" t="s">
        <v>7</v>
      </c>
      <c r="B91" s="56">
        <f aca="true" t="shared" si="17" ref="B91:M91">B87+B83+B78</f>
        <v>1737915.63</v>
      </c>
      <c r="C91" s="56">
        <f t="shared" si="17"/>
        <v>0</v>
      </c>
      <c r="D91" s="56">
        <f t="shared" si="17"/>
        <v>0</v>
      </c>
      <c r="E91" s="56">
        <f t="shared" si="17"/>
        <v>0</v>
      </c>
      <c r="F91" s="56">
        <f t="shared" si="17"/>
        <v>0</v>
      </c>
      <c r="G91" s="56">
        <f t="shared" si="17"/>
        <v>164015.39</v>
      </c>
      <c r="H91" s="56">
        <f t="shared" si="17"/>
        <v>0</v>
      </c>
      <c r="I91" s="56">
        <f t="shared" si="17"/>
        <v>16129.869999999999</v>
      </c>
      <c r="J91" s="56">
        <f t="shared" si="17"/>
        <v>218858.53000000003</v>
      </c>
      <c r="K91" s="56">
        <f t="shared" si="17"/>
        <v>0</v>
      </c>
      <c r="L91" s="56">
        <f t="shared" si="17"/>
        <v>0</v>
      </c>
      <c r="M91" s="56">
        <f t="shared" si="17"/>
        <v>0</v>
      </c>
      <c r="N91" s="57">
        <f>SUM(B91:M91)</f>
        <v>2136919.42</v>
      </c>
    </row>
    <row r="92" ht="12" thickTop="1"/>
    <row r="95" spans="1:14" ht="11.25">
      <c r="A95" s="43" t="s">
        <v>74</v>
      </c>
      <c r="H95" s="45"/>
      <c r="N95" s="46" t="s">
        <v>91</v>
      </c>
    </row>
    <row r="96" ht="11.25">
      <c r="A96" s="43" t="s">
        <v>0</v>
      </c>
    </row>
    <row r="97" ht="11.25">
      <c r="L97" s="48"/>
    </row>
    <row r="98" spans="1:14" ht="11.25">
      <c r="A98" s="43" t="s">
        <v>92</v>
      </c>
      <c r="B98" s="49"/>
      <c r="C98" s="49"/>
      <c r="D98" s="49"/>
      <c r="E98" s="49"/>
      <c r="F98" s="49"/>
      <c r="G98" s="49"/>
      <c r="H98" s="49" t="s">
        <v>1</v>
      </c>
      <c r="I98" s="49"/>
      <c r="J98" s="49"/>
      <c r="K98" s="49"/>
      <c r="L98" s="50" t="s">
        <v>29</v>
      </c>
      <c r="M98" s="49"/>
      <c r="N98" s="49" t="s">
        <v>96</v>
      </c>
    </row>
    <row r="99" spans="2:14" ht="11.25">
      <c r="B99" s="49" t="s">
        <v>2</v>
      </c>
      <c r="C99" s="49"/>
      <c r="D99" s="49" t="s">
        <v>3</v>
      </c>
      <c r="E99" s="49"/>
      <c r="F99" s="49"/>
      <c r="G99" s="49"/>
      <c r="H99" s="49" t="s">
        <v>4</v>
      </c>
      <c r="I99" s="49"/>
      <c r="J99" s="49" t="s">
        <v>5</v>
      </c>
      <c r="K99" s="49" t="s">
        <v>6</v>
      </c>
      <c r="L99" s="50" t="s">
        <v>30</v>
      </c>
      <c r="M99" s="49"/>
      <c r="N99" s="49" t="s">
        <v>7</v>
      </c>
    </row>
    <row r="100" spans="2:14" ht="11.25">
      <c r="B100" s="51" t="s">
        <v>8</v>
      </c>
      <c r="C100" s="51" t="s">
        <v>9</v>
      </c>
      <c r="D100" s="51" t="s">
        <v>10</v>
      </c>
      <c r="E100" s="51" t="s">
        <v>11</v>
      </c>
      <c r="F100" s="51" t="s">
        <v>12</v>
      </c>
      <c r="G100" s="51" t="s">
        <v>13</v>
      </c>
      <c r="H100" s="51" t="s">
        <v>10</v>
      </c>
      <c r="I100" s="51" t="s">
        <v>14</v>
      </c>
      <c r="J100" s="51" t="s">
        <v>15</v>
      </c>
      <c r="K100" s="51" t="s">
        <v>16</v>
      </c>
      <c r="L100" s="52" t="s">
        <v>10</v>
      </c>
      <c r="M100" s="51" t="s">
        <v>26</v>
      </c>
      <c r="N100" s="51" t="s">
        <v>8</v>
      </c>
    </row>
    <row r="101" spans="1:14" ht="11.25">
      <c r="A101" s="44" t="s">
        <v>93</v>
      </c>
      <c r="B101" s="44">
        <f>'Sponsored Programs'!B35</f>
        <v>27580338.189999998</v>
      </c>
      <c r="C101" s="44">
        <f>'Sponsored Programs'!C35</f>
        <v>98331685.63</v>
      </c>
      <c r="D101" s="44">
        <f>'Sponsored Programs'!D35</f>
        <v>29252237.11</v>
      </c>
      <c r="E101" s="44">
        <f>'Sponsored Programs'!E35</f>
        <v>3808668.05</v>
      </c>
      <c r="F101" s="44">
        <f>'Sponsored Programs'!F35</f>
        <v>7648847.930000001</v>
      </c>
      <c r="G101" s="44">
        <f>'Sponsored Programs'!G35</f>
        <v>26698181.11</v>
      </c>
      <c r="H101" s="44">
        <f>'Sponsored Programs'!H35</f>
        <v>7407101.41</v>
      </c>
      <c r="I101" s="44">
        <f>'Sponsored Programs'!I35</f>
        <v>2468585.62</v>
      </c>
      <c r="J101" s="44">
        <f>'Sponsored Programs'!J35</f>
        <v>17840439.270000003</v>
      </c>
      <c r="K101" s="44">
        <f>'Sponsored Programs'!K35</f>
        <v>4970684.27</v>
      </c>
      <c r="L101" s="44">
        <f>'Sponsored Programs'!L35</f>
        <v>14746062.68</v>
      </c>
      <c r="M101" s="44">
        <f>'Sponsored Programs'!M35</f>
        <v>407054.29000000004</v>
      </c>
      <c r="N101" s="44">
        <f>SUM(B101:M101)</f>
        <v>241159885.56000006</v>
      </c>
    </row>
    <row r="102" spans="1:15" ht="11.25">
      <c r="A102" s="44" t="s">
        <v>94</v>
      </c>
      <c r="B102" s="44">
        <f>B21</f>
        <v>2448628.13</v>
      </c>
      <c r="C102" s="44">
        <f aca="true" t="shared" si="18" ref="C102:M102">C21</f>
        <v>900025.12</v>
      </c>
      <c r="D102" s="44">
        <f t="shared" si="18"/>
        <v>529841.23</v>
      </c>
      <c r="E102" s="44">
        <f t="shared" si="18"/>
        <v>0</v>
      </c>
      <c r="F102" s="44">
        <f t="shared" si="18"/>
        <v>126000</v>
      </c>
      <c r="G102" s="44">
        <f t="shared" si="18"/>
        <v>709875.2</v>
      </c>
      <c r="H102" s="44">
        <f t="shared" si="18"/>
        <v>0</v>
      </c>
      <c r="I102" s="44">
        <f t="shared" si="18"/>
        <v>2885731.09</v>
      </c>
      <c r="J102" s="44">
        <f t="shared" si="18"/>
        <v>1981692.4400000002</v>
      </c>
      <c r="K102" s="44">
        <f t="shared" si="18"/>
        <v>1696836</v>
      </c>
      <c r="L102" s="44">
        <f t="shared" si="18"/>
        <v>1639152.29</v>
      </c>
      <c r="M102" s="44">
        <f t="shared" si="18"/>
        <v>1127780.42</v>
      </c>
      <c r="N102" s="44">
        <f>SUM(B102:M102)</f>
        <v>14045561.92</v>
      </c>
      <c r="O102" s="47" t="s">
        <v>34</v>
      </c>
    </row>
    <row r="104" spans="1:14" ht="12" thickBot="1">
      <c r="A104" s="43" t="s">
        <v>7</v>
      </c>
      <c r="B104" s="57">
        <f aca="true" t="shared" si="19" ref="B104:N104">SUM(B101:B103)</f>
        <v>30028966.319999997</v>
      </c>
      <c r="C104" s="57">
        <f t="shared" si="19"/>
        <v>99231710.75</v>
      </c>
      <c r="D104" s="57">
        <f t="shared" si="19"/>
        <v>29782078.34</v>
      </c>
      <c r="E104" s="57">
        <f t="shared" si="19"/>
        <v>3808668.05</v>
      </c>
      <c r="F104" s="57">
        <f t="shared" si="19"/>
        <v>7774847.930000001</v>
      </c>
      <c r="G104" s="57">
        <f t="shared" si="19"/>
        <v>27408056.31</v>
      </c>
      <c r="H104" s="57">
        <f t="shared" si="19"/>
        <v>7407101.41</v>
      </c>
      <c r="I104" s="57">
        <f t="shared" si="19"/>
        <v>5354316.71</v>
      </c>
      <c r="J104" s="57">
        <f t="shared" si="19"/>
        <v>19822131.710000005</v>
      </c>
      <c r="K104" s="57">
        <f t="shared" si="19"/>
        <v>6667520.27</v>
      </c>
      <c r="L104" s="57">
        <f t="shared" si="19"/>
        <v>16385214.969999999</v>
      </c>
      <c r="M104" s="57">
        <f t="shared" si="19"/>
        <v>1534834.71</v>
      </c>
      <c r="N104" s="57">
        <f t="shared" si="19"/>
        <v>255205447.48000005</v>
      </c>
    </row>
    <row r="105" ht="12" thickTop="1"/>
    <row r="108" spans="1:14" ht="11.25">
      <c r="A108" s="43" t="s">
        <v>95</v>
      </c>
      <c r="H108" s="45"/>
      <c r="N108" s="46" t="s">
        <v>91</v>
      </c>
    </row>
    <row r="109" ht="11.25">
      <c r="A109" s="43" t="s">
        <v>0</v>
      </c>
    </row>
    <row r="110" ht="11.25">
      <c r="L110" s="48"/>
    </row>
    <row r="111" spans="1:14" ht="11.25">
      <c r="A111" s="43" t="s">
        <v>92</v>
      </c>
      <c r="B111" s="49"/>
      <c r="C111" s="49"/>
      <c r="D111" s="49"/>
      <c r="E111" s="49"/>
      <c r="F111" s="49"/>
      <c r="G111" s="49"/>
      <c r="H111" s="49" t="s">
        <v>1</v>
      </c>
      <c r="I111" s="49"/>
      <c r="J111" s="49"/>
      <c r="K111" s="49"/>
      <c r="L111" s="50" t="s">
        <v>29</v>
      </c>
      <c r="M111" s="49"/>
      <c r="N111" s="49" t="s">
        <v>80</v>
      </c>
    </row>
    <row r="112" spans="2:14" ht="11.25">
      <c r="B112" s="49" t="s">
        <v>2</v>
      </c>
      <c r="C112" s="49"/>
      <c r="D112" s="49" t="s">
        <v>3</v>
      </c>
      <c r="E112" s="49"/>
      <c r="F112" s="49"/>
      <c r="G112" s="49"/>
      <c r="H112" s="49" t="s">
        <v>4</v>
      </c>
      <c r="I112" s="49"/>
      <c r="J112" s="49" t="s">
        <v>5</v>
      </c>
      <c r="K112" s="49" t="s">
        <v>6</v>
      </c>
      <c r="L112" s="50" t="s">
        <v>30</v>
      </c>
      <c r="M112" s="49"/>
      <c r="N112" s="49" t="s">
        <v>7</v>
      </c>
    </row>
    <row r="113" spans="2:14" ht="11.25">
      <c r="B113" s="51" t="s">
        <v>8</v>
      </c>
      <c r="C113" s="51" t="s">
        <v>9</v>
      </c>
      <c r="D113" s="51" t="s">
        <v>10</v>
      </c>
      <c r="E113" s="51" t="s">
        <v>11</v>
      </c>
      <c r="F113" s="51" t="s">
        <v>12</v>
      </c>
      <c r="G113" s="51" t="s">
        <v>13</v>
      </c>
      <c r="H113" s="51" t="s">
        <v>10</v>
      </c>
      <c r="I113" s="51" t="s">
        <v>14</v>
      </c>
      <c r="J113" s="51" t="s">
        <v>15</v>
      </c>
      <c r="K113" s="51" t="s">
        <v>16</v>
      </c>
      <c r="L113" s="52" t="s">
        <v>10</v>
      </c>
      <c r="M113" s="51" t="s">
        <v>26</v>
      </c>
      <c r="N113" s="51" t="s">
        <v>8</v>
      </c>
    </row>
    <row r="114" spans="1:14" ht="11.25">
      <c r="A114" s="44" t="s">
        <v>93</v>
      </c>
      <c r="B114" s="44">
        <v>28601733</v>
      </c>
      <c r="C114" s="44">
        <v>98914189</v>
      </c>
      <c r="D114" s="44">
        <v>27416039</v>
      </c>
      <c r="E114" s="44">
        <v>4663108</v>
      </c>
      <c r="F114" s="44">
        <v>8422758</v>
      </c>
      <c r="G114" s="44">
        <v>26777454</v>
      </c>
      <c r="H114" s="44">
        <v>6793201</v>
      </c>
      <c r="I114" s="44">
        <v>2296981</v>
      </c>
      <c r="J114" s="44">
        <v>16762902</v>
      </c>
      <c r="K114" s="44">
        <v>5410345</v>
      </c>
      <c r="L114" s="44">
        <v>13545718</v>
      </c>
      <c r="M114" s="44">
        <v>449579</v>
      </c>
      <c r="N114" s="44">
        <f>SUM(B114:M114)</f>
        <v>240054007</v>
      </c>
    </row>
    <row r="115" spans="1:15" ht="11.25">
      <c r="A115" s="44" t="s">
        <v>94</v>
      </c>
      <c r="B115" s="44">
        <v>3375959</v>
      </c>
      <c r="C115" s="44">
        <v>5011490</v>
      </c>
      <c r="D115" s="44">
        <v>204727</v>
      </c>
      <c r="E115" s="44">
        <v>0</v>
      </c>
      <c r="F115" s="44">
        <v>794700</v>
      </c>
      <c r="G115" s="44">
        <v>495429</v>
      </c>
      <c r="H115" s="44">
        <v>41309</v>
      </c>
      <c r="I115" s="44">
        <v>0</v>
      </c>
      <c r="J115" s="44">
        <v>345790</v>
      </c>
      <c r="K115" s="44">
        <v>1309362</v>
      </c>
      <c r="L115" s="44">
        <v>8253142</v>
      </c>
      <c r="M115" s="44">
        <v>876420</v>
      </c>
      <c r="N115" s="44">
        <f>SUM(B115:M115)</f>
        <v>20708328</v>
      </c>
      <c r="O115" s="47" t="s">
        <v>34</v>
      </c>
    </row>
    <row r="117" spans="1:14" ht="12" thickBot="1">
      <c r="A117" s="43" t="s">
        <v>7</v>
      </c>
      <c r="B117" s="57">
        <f aca="true" t="shared" si="20" ref="B117:N117">SUM(B114:B116)</f>
        <v>31977692</v>
      </c>
      <c r="C117" s="57">
        <f t="shared" si="20"/>
        <v>103925679</v>
      </c>
      <c r="D117" s="57">
        <f t="shared" si="20"/>
        <v>27620766</v>
      </c>
      <c r="E117" s="57">
        <f t="shared" si="20"/>
        <v>4663108</v>
      </c>
      <c r="F117" s="57">
        <f t="shared" si="20"/>
        <v>9217458</v>
      </c>
      <c r="G117" s="57">
        <f t="shared" si="20"/>
        <v>27272883</v>
      </c>
      <c r="H117" s="57">
        <f t="shared" si="20"/>
        <v>6834510</v>
      </c>
      <c r="I117" s="57">
        <f t="shared" si="20"/>
        <v>2296981</v>
      </c>
      <c r="J117" s="57">
        <f t="shared" si="20"/>
        <v>17108692</v>
      </c>
      <c r="K117" s="57">
        <f t="shared" si="20"/>
        <v>6719707</v>
      </c>
      <c r="L117" s="57">
        <f t="shared" si="20"/>
        <v>21798860</v>
      </c>
      <c r="M117" s="57">
        <f t="shared" si="20"/>
        <v>1325999</v>
      </c>
      <c r="N117" s="57">
        <f t="shared" si="20"/>
        <v>260762335</v>
      </c>
    </row>
    <row r="118" ht="12" thickTop="1"/>
  </sheetData>
  <sheetProtection/>
  <printOptions/>
  <pageMargins left="0.5" right="0.5" top="0.5" bottom="0.5" header="0.25" footer="0.5"/>
  <pageSetup horizontalDpi="600" verticalDpi="600" orientation="landscape" scale="75" r:id="rId1"/>
  <headerFooter alignWithMargins="0">
    <oddHeader>&amp;L&amp;D&amp;C&amp;F</oddHeader>
    <oddFooter>&amp;L&amp;"Arial,Bold"* The information on this page, as provided by the respective College, is to be used for informational purposes only.  This information has not been audited, and therefore, GCFA can not attest to the accuracy of this information.&amp;C
</oddFooter>
  </headerFooter>
  <rowBreaks count="4" manualBreakCount="4">
    <brk id="22" max="255" man="1"/>
    <brk id="46" max="255" man="1"/>
    <brk id="69" max="255" man="1"/>
    <brk id="92" max="255" man="1"/>
  </rowBreaks>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Sponsored Program Expenditures for FY95</dc:title>
  <dc:subject>SP EXP FOR fy95</dc:subject>
  <dc:creator>Stefanie McCubbins</dc:creator>
  <cp:keywords/>
  <dc:description/>
  <cp:lastModifiedBy>Tetik, Carmen</cp:lastModifiedBy>
  <cp:lastPrinted>2014-11-13T16:13:33Z</cp:lastPrinted>
  <dcterms:created xsi:type="dcterms:W3CDTF">1997-10-10T20:56:20Z</dcterms:created>
  <dcterms:modified xsi:type="dcterms:W3CDTF">2014-12-01T19:51:41Z</dcterms:modified>
  <cp:category/>
  <cp:version/>
  <cp:contentType/>
  <cp:contentStatus/>
</cp:coreProperties>
</file>