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215" activeTab="0"/>
  </bookViews>
  <sheets>
    <sheet name="Sponsored Programs" sheetId="1" r:id="rId1"/>
    <sheet name="Research" sheetId="2" r:id="rId2"/>
    <sheet name="Instruction" sheetId="3" r:id="rId3"/>
    <sheet name="Extension" sheetId="4" r:id="rId4"/>
    <sheet name="Supplemental Info" sheetId="5" r:id="rId5"/>
    <sheet name="Sheet1" sheetId="6" r:id="rId6"/>
    <sheet name="Sheet2" sheetId="7" r:id="rId7"/>
  </sheets>
  <definedNames>
    <definedName name="_xlnm.Print_Area" localSheetId="3">'Extension'!$A$1:$O$62</definedName>
    <definedName name="_xlnm.Print_Area" localSheetId="2">'Instruction'!$A$1:$O$64</definedName>
    <definedName name="_xlnm.Print_Area" localSheetId="1">'Research'!$A$1:$P$63</definedName>
    <definedName name="_xlnm.Print_Area" localSheetId="0">'Sponsored Programs'!$A$1:$O$66</definedName>
  </definedNames>
  <calcPr fullCalcOnLoad="1"/>
</workbook>
</file>

<file path=xl/sharedStrings.xml><?xml version="1.0" encoding="utf-8"?>
<sst xmlns="http://schemas.openxmlformats.org/spreadsheetml/2006/main" count="506" uniqueCount="98">
  <si>
    <t>Sponsored Program Fund Sources and Expenditures by Agency  (Based on Accrual)</t>
  </si>
  <si>
    <t>Human</t>
  </si>
  <si>
    <t>General</t>
  </si>
  <si>
    <t>Arts &amp;</t>
  </si>
  <si>
    <t>Environ.</t>
  </si>
  <si>
    <t>Veterinary</t>
  </si>
  <si>
    <t>Oklahoma</t>
  </si>
  <si>
    <t>Total</t>
  </si>
  <si>
    <t>University</t>
  </si>
  <si>
    <t>Agriculture</t>
  </si>
  <si>
    <t>Sciences</t>
  </si>
  <si>
    <t>Business</t>
  </si>
  <si>
    <t>Education</t>
  </si>
  <si>
    <t>Engineering</t>
  </si>
  <si>
    <t>Okmulgee</t>
  </si>
  <si>
    <t>Medicine</t>
  </si>
  <si>
    <t>City</t>
  </si>
  <si>
    <t>State</t>
  </si>
  <si>
    <t>(General Support)</t>
  </si>
  <si>
    <t>Ledger 1</t>
  </si>
  <si>
    <t>Direct Cost C/S</t>
  </si>
  <si>
    <t>Station Sales</t>
  </si>
  <si>
    <t>Restricted Fund-OSU</t>
  </si>
  <si>
    <t>Federal Sponsors</t>
  </si>
  <si>
    <t>State Sponsors</t>
  </si>
  <si>
    <t>Private Sponsors</t>
  </si>
  <si>
    <t>Tulsa</t>
  </si>
  <si>
    <t>Fed Appropriations</t>
  </si>
  <si>
    <t>Extension Fund Sources and Expenditures by Agency  (Based on Accrual)</t>
  </si>
  <si>
    <t>Center</t>
  </si>
  <si>
    <t>for Health</t>
  </si>
  <si>
    <t>Station Sale</t>
  </si>
  <si>
    <t>Instruction Fund Sources and Expenditures by Agency  (Based on Accrual)</t>
  </si>
  <si>
    <t>Research Fund Sources and Expenditures by Agency  (Based on Accrual)</t>
  </si>
  <si>
    <t xml:space="preserve"> </t>
  </si>
  <si>
    <t>Voluntary Waived F&amp;A</t>
  </si>
  <si>
    <t>Mandatory Waived F&amp;A</t>
  </si>
  <si>
    <t>Unfunded F&amp;A on C/S</t>
  </si>
  <si>
    <t>Recovered F&amp;A Restricted</t>
  </si>
  <si>
    <t>Part 1 A</t>
  </si>
  <si>
    <t>Part 1 B</t>
  </si>
  <si>
    <t>Part 1 B Continued</t>
  </si>
  <si>
    <t>Page 1</t>
  </si>
  <si>
    <t>Page 2</t>
  </si>
  <si>
    <t>Page 3</t>
  </si>
  <si>
    <t>Page 4</t>
  </si>
  <si>
    <t>Restricted Fund-CIED</t>
  </si>
  <si>
    <t>Restricted-CIED</t>
  </si>
  <si>
    <t xml:space="preserve">Total  </t>
  </si>
  <si>
    <t xml:space="preserve">Reconciliation </t>
  </si>
  <si>
    <t>Research</t>
  </si>
  <si>
    <t>Financial</t>
  </si>
  <si>
    <t>Report</t>
  </si>
  <si>
    <t>Statements</t>
  </si>
  <si>
    <t>Unrestricted</t>
  </si>
  <si>
    <t>Restricted</t>
  </si>
  <si>
    <t>Total per Financial Statements</t>
  </si>
  <si>
    <t>Direct C/S - Instruction</t>
  </si>
  <si>
    <t>EREDF Academic Support</t>
  </si>
  <si>
    <t>Debt Service (SC 9600)</t>
  </si>
  <si>
    <t>Working Fund Adjustment</t>
  </si>
  <si>
    <t>Total per Report</t>
  </si>
  <si>
    <t>Reconciliation</t>
  </si>
  <si>
    <t>Unrestricted Research</t>
  </si>
  <si>
    <t>Restricted Research</t>
  </si>
  <si>
    <t>Sub-total</t>
  </si>
  <si>
    <t>EREDF Academic Spt - NASA Rpt</t>
  </si>
  <si>
    <t>Restricted Instruction</t>
  </si>
  <si>
    <t>Direct C/S</t>
  </si>
  <si>
    <t>Unrestricted Extension</t>
  </si>
  <si>
    <t>Restricted Extension</t>
  </si>
  <si>
    <t>Miscellaneous Adjustment</t>
  </si>
  <si>
    <t>Effective F&amp;A Rate</t>
  </si>
  <si>
    <t>FY 2014</t>
  </si>
  <si>
    <t>Debt Service (SC 9600/9620)</t>
  </si>
  <si>
    <t>AB45 Accts on C/S - not Ldgr 1 List</t>
  </si>
  <si>
    <t>2015 Research Report Oklahoma State University</t>
  </si>
  <si>
    <t>FY 2015</t>
  </si>
  <si>
    <t>GASB Adjustment - See Notes</t>
  </si>
  <si>
    <t>Page 5</t>
  </si>
  <si>
    <t>Part 2 A</t>
  </si>
  <si>
    <t>FY2014</t>
  </si>
  <si>
    <t>Plant Funds</t>
  </si>
  <si>
    <t>OSU Foundation</t>
  </si>
  <si>
    <t>In-kind Contributions</t>
  </si>
  <si>
    <t>Research on UML F/S</t>
  </si>
  <si>
    <t>Page 6</t>
  </si>
  <si>
    <t>Research Fund Sources and Expenditures by Agency (Based on Accrual)</t>
  </si>
  <si>
    <t>Part 2 B</t>
  </si>
  <si>
    <t>Page 7</t>
  </si>
  <si>
    <t>Part 2 B Continued</t>
  </si>
  <si>
    <t>Page 8</t>
  </si>
  <si>
    <t>Page 9</t>
  </si>
  <si>
    <t>Summary</t>
  </si>
  <si>
    <t>Part 1</t>
  </si>
  <si>
    <t>Part 2 *</t>
  </si>
  <si>
    <t>2014 Research Report Oklahoma State University - For Comparison</t>
  </si>
  <si>
    <t>FY2015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</si>
</sst>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i/>
      <u val="single"/>
      <sz val="8"/>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3" fontId="5" fillId="0" borderId="0" xfId="0" applyNumberFormat="1" applyFont="1" applyAlignment="1">
      <alignment/>
    </xf>
    <xf numFmtId="3" fontId="4" fillId="0" borderId="0" xfId="0" applyNumberFormat="1" applyFont="1" applyAlignment="1">
      <alignment/>
    </xf>
    <xf numFmtId="3" fontId="5" fillId="33" borderId="0" xfId="0" applyNumberFormat="1" applyFont="1" applyFill="1" applyAlignment="1">
      <alignment horizontal="center"/>
    </xf>
    <xf numFmtId="3" fontId="5" fillId="33" borderId="10" xfId="0" applyNumberFormat="1" applyFont="1" applyFill="1" applyBorder="1" applyAlignment="1">
      <alignment horizontal="center"/>
    </xf>
    <xf numFmtId="3" fontId="5" fillId="0" borderId="0" xfId="0" applyNumberFormat="1" applyFont="1" applyFill="1" applyAlignment="1">
      <alignment/>
    </xf>
    <xf numFmtId="3" fontId="5" fillId="0" borderId="0" xfId="0" applyNumberFormat="1" applyFont="1" applyFill="1" applyBorder="1" applyAlignment="1">
      <alignment horizontal="center"/>
    </xf>
    <xf numFmtId="3" fontId="4" fillId="0" borderId="0" xfId="0" applyNumberFormat="1" applyFont="1" applyFill="1" applyAlignment="1">
      <alignment/>
    </xf>
    <xf numFmtId="3" fontId="5"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Alignment="1">
      <alignment horizontal="right"/>
    </xf>
    <xf numFmtId="3" fontId="4" fillId="0" borderId="0" xfId="0" applyNumberFormat="1" applyFont="1" applyBorder="1" applyAlignment="1">
      <alignment/>
    </xf>
    <xf numFmtId="3" fontId="6" fillId="0" borderId="0" xfId="0" applyNumberFormat="1" applyFont="1" applyAlignment="1">
      <alignment/>
    </xf>
    <xf numFmtId="3" fontId="5" fillId="0" borderId="0" xfId="0" applyNumberFormat="1" applyFont="1" applyAlignment="1">
      <alignment/>
    </xf>
    <xf numFmtId="3" fontId="4" fillId="0" borderId="0" xfId="0" applyNumberFormat="1" applyFont="1" applyAlignment="1">
      <alignment/>
    </xf>
    <xf numFmtId="3" fontId="5" fillId="34" borderId="0" xfId="0" applyNumberFormat="1" applyFont="1" applyFill="1" applyAlignment="1">
      <alignment horizontal="center"/>
    </xf>
    <xf numFmtId="3" fontId="5" fillId="34" borderId="10" xfId="0" applyNumberFormat="1" applyFont="1" applyFill="1" applyBorder="1" applyAlignment="1">
      <alignment horizontal="center"/>
    </xf>
    <xf numFmtId="3" fontId="5" fillId="0" borderId="0" xfId="0" applyNumberFormat="1" applyFont="1" applyFill="1" applyBorder="1" applyAlignment="1">
      <alignment horizontal="center"/>
    </xf>
    <xf numFmtId="3" fontId="4" fillId="0" borderId="0" xfId="0" applyNumberFormat="1" applyFont="1" applyFill="1" applyAlignment="1">
      <alignment/>
    </xf>
    <xf numFmtId="38" fontId="4"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3" fontId="4" fillId="0" borderId="0" xfId="0" applyNumberFormat="1" applyFont="1" applyAlignment="1">
      <alignment horizontal="center"/>
    </xf>
    <xf numFmtId="3" fontId="4" fillId="0" borderId="0" xfId="0" applyNumberFormat="1" applyFont="1" applyAlignment="1" quotePrefix="1">
      <alignment/>
    </xf>
    <xf numFmtId="3" fontId="5" fillId="0" borderId="10" xfId="0" applyNumberFormat="1" applyFont="1" applyFill="1" applyBorder="1" applyAlignment="1">
      <alignment horizontal="center"/>
    </xf>
    <xf numFmtId="3" fontId="4" fillId="0" borderId="0" xfId="0" applyNumberFormat="1" applyFont="1" applyFill="1" applyBorder="1" applyAlignment="1">
      <alignment/>
    </xf>
    <xf numFmtId="3" fontId="5" fillId="0" borderId="0" xfId="0" applyNumberFormat="1" applyFont="1" applyAlignment="1">
      <alignment horizontal="center"/>
    </xf>
    <xf numFmtId="3" fontId="5" fillId="0" borderId="0" xfId="0" applyNumberFormat="1" applyFont="1" applyFill="1" applyAlignment="1">
      <alignment horizontal="center"/>
    </xf>
    <xf numFmtId="3" fontId="4" fillId="0" borderId="0" xfId="0" applyNumberFormat="1" applyFont="1" applyFill="1" applyBorder="1" applyAlignment="1">
      <alignment/>
    </xf>
    <xf numFmtId="3" fontId="5" fillId="34" borderId="0" xfId="0" applyNumberFormat="1" applyFont="1" applyFill="1" applyBorder="1" applyAlignment="1">
      <alignment horizontal="center"/>
    </xf>
    <xf numFmtId="3" fontId="5" fillId="33" borderId="0" xfId="0" applyNumberFormat="1" applyFont="1" applyFill="1" applyBorder="1" applyAlignment="1">
      <alignment horizontal="center"/>
    </xf>
    <xf numFmtId="3" fontId="5" fillId="0" borderId="0" xfId="0" applyNumberFormat="1" applyFont="1" applyAlignment="1">
      <alignment horizontal="right"/>
    </xf>
    <xf numFmtId="3" fontId="5" fillId="33" borderId="0" xfId="0" applyNumberFormat="1" applyFont="1" applyFill="1" applyAlignment="1">
      <alignment horizontal="center"/>
    </xf>
    <xf numFmtId="3" fontId="5" fillId="33" borderId="0" xfId="0" applyNumberFormat="1" applyFont="1" applyFill="1" applyBorder="1" applyAlignment="1">
      <alignment horizontal="center"/>
    </xf>
    <xf numFmtId="3" fontId="4" fillId="0" borderId="10" xfId="0" applyNumberFormat="1" applyFont="1" applyFill="1" applyBorder="1" applyAlignment="1">
      <alignment/>
    </xf>
    <xf numFmtId="3" fontId="4" fillId="0" borderId="11" xfId="0" applyNumberFormat="1" applyFont="1" applyFill="1" applyBorder="1" applyAlignment="1">
      <alignment/>
    </xf>
    <xf numFmtId="3" fontId="5" fillId="34" borderId="0" xfId="0" applyNumberFormat="1" applyFont="1" applyFill="1" applyAlignment="1">
      <alignment horizontal="center"/>
    </xf>
    <xf numFmtId="10" fontId="5" fillId="0" borderId="0" xfId="0" applyNumberFormat="1" applyFont="1" applyAlignment="1">
      <alignment/>
    </xf>
    <xf numFmtId="10" fontId="4" fillId="0" borderId="0" xfId="0" applyNumberFormat="1" applyFont="1" applyAlignment="1">
      <alignment/>
    </xf>
    <xf numFmtId="10" fontId="5" fillId="0" borderId="0" xfId="0" applyNumberFormat="1" applyFont="1" applyAlignment="1">
      <alignment horizontal="center"/>
    </xf>
    <xf numFmtId="10" fontId="4" fillId="0" borderId="0" xfId="0" applyNumberFormat="1" applyFont="1" applyAlignment="1">
      <alignment/>
    </xf>
    <xf numFmtId="3" fontId="5" fillId="0" borderId="0" xfId="57" applyNumberFormat="1" applyFont="1">
      <alignment/>
      <protection/>
    </xf>
    <xf numFmtId="3" fontId="4" fillId="0" borderId="0" xfId="57" applyNumberFormat="1" applyFont="1">
      <alignment/>
      <protection/>
    </xf>
    <xf numFmtId="3" fontId="6" fillId="0" borderId="0" xfId="57" applyNumberFormat="1" applyFont="1">
      <alignment/>
      <protection/>
    </xf>
    <xf numFmtId="3" fontId="5" fillId="0" borderId="0" xfId="57" applyNumberFormat="1" applyFont="1" applyAlignment="1">
      <alignment horizontal="right"/>
      <protection/>
    </xf>
    <xf numFmtId="3" fontId="5" fillId="0" borderId="0" xfId="57" applyNumberFormat="1" applyFont="1" applyAlignment="1">
      <alignment horizontal="center"/>
      <protection/>
    </xf>
    <xf numFmtId="3" fontId="4" fillId="0" borderId="0" xfId="57" applyNumberFormat="1" applyFont="1" applyBorder="1">
      <alignment/>
      <protection/>
    </xf>
    <xf numFmtId="3" fontId="5" fillId="33" borderId="0" xfId="57" applyNumberFormat="1" applyFont="1" applyFill="1" applyAlignment="1">
      <alignment horizontal="center"/>
      <protection/>
    </xf>
    <xf numFmtId="3" fontId="5" fillId="0" borderId="0" xfId="57" applyNumberFormat="1" applyFont="1" applyFill="1" applyBorder="1" applyAlignment="1">
      <alignment horizontal="center"/>
      <protection/>
    </xf>
    <xf numFmtId="3" fontId="5" fillId="33" borderId="10" xfId="57" applyNumberFormat="1" applyFont="1" applyFill="1" applyBorder="1" applyAlignment="1">
      <alignment horizontal="center"/>
      <protection/>
    </xf>
    <xf numFmtId="3" fontId="5" fillId="0" borderId="10" xfId="57" applyNumberFormat="1" applyFont="1" applyFill="1" applyBorder="1" applyAlignment="1">
      <alignment horizontal="center"/>
      <protection/>
    </xf>
    <xf numFmtId="3" fontId="4" fillId="0" borderId="0" xfId="57" applyNumberFormat="1" applyFont="1" applyFill="1">
      <alignment/>
      <protection/>
    </xf>
    <xf numFmtId="3" fontId="5" fillId="0" borderId="0" xfId="57" applyNumberFormat="1" applyFont="1" applyFill="1" applyAlignment="1">
      <alignment horizontal="center"/>
      <protection/>
    </xf>
    <xf numFmtId="3" fontId="4" fillId="0" borderId="10" xfId="57" applyNumberFormat="1" applyFont="1" applyBorder="1">
      <alignment/>
      <protection/>
    </xf>
    <xf numFmtId="3" fontId="4" fillId="0" borderId="11" xfId="57" applyNumberFormat="1" applyFont="1" applyBorder="1">
      <alignment/>
      <protection/>
    </xf>
    <xf numFmtId="3" fontId="4" fillId="0" borderId="12" xfId="57"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P70"/>
  <sheetViews>
    <sheetView tabSelected="1"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L28" sqref="L28"/>
    </sheetView>
  </sheetViews>
  <sheetFormatPr defaultColWidth="9.140625" defaultRowHeight="12.75" outlineLevelRow="1"/>
  <cols>
    <col min="1" max="1" width="19.00390625" style="2" customWidth="1"/>
    <col min="2" max="2" width="10.57421875" style="2" customWidth="1"/>
    <col min="3" max="3" width="9.8515625" style="2" bestFit="1" customWidth="1"/>
    <col min="4" max="4" width="10.57421875" style="2" customWidth="1"/>
    <col min="5" max="5" width="10.28125" style="2" customWidth="1"/>
    <col min="6" max="6" width="9.7109375" style="2" customWidth="1"/>
    <col min="7" max="7" width="10.57421875" style="2" customWidth="1"/>
    <col min="8" max="8" width="11.140625" style="2" customWidth="1"/>
    <col min="9" max="11" width="10.140625" style="2" customWidth="1"/>
    <col min="12" max="13" width="9.7109375" style="2" customWidth="1"/>
    <col min="14" max="14" width="10.00390625" style="2" bestFit="1" customWidth="1"/>
    <col min="15" max="15" width="9.57421875" style="2" bestFit="1" customWidth="1"/>
    <col min="16" max="16" width="9.57421875" style="28" bestFit="1" customWidth="1"/>
    <col min="17" max="16384" width="9.140625" style="2" customWidth="1"/>
  </cols>
  <sheetData>
    <row r="1" spans="1:16" ht="11.25">
      <c r="A1" s="8" t="s">
        <v>76</v>
      </c>
      <c r="H1" s="13"/>
      <c r="N1" s="33" t="s">
        <v>42</v>
      </c>
      <c r="O1" s="28"/>
      <c r="P1" s="2"/>
    </row>
    <row r="2" spans="1:16" ht="11.25">
      <c r="A2" s="1" t="s">
        <v>0</v>
      </c>
      <c r="O2" s="28"/>
      <c r="P2" s="2"/>
    </row>
    <row r="3" spans="12:16" ht="11.25">
      <c r="L3" s="12"/>
      <c r="N3" s="28" t="s">
        <v>34</v>
      </c>
      <c r="O3" s="28"/>
      <c r="P3" s="2"/>
    </row>
    <row r="4" spans="1:15" ht="11.25">
      <c r="A4" s="14" t="s">
        <v>39</v>
      </c>
      <c r="B4" s="3"/>
      <c r="C4" s="3"/>
      <c r="D4" s="3"/>
      <c r="E4" s="3"/>
      <c r="F4" s="3"/>
      <c r="G4" s="3"/>
      <c r="H4" s="3" t="s">
        <v>1</v>
      </c>
      <c r="I4" s="3"/>
      <c r="J4" s="3"/>
      <c r="K4" s="3"/>
      <c r="L4" s="18" t="s">
        <v>29</v>
      </c>
      <c r="M4" s="3"/>
      <c r="N4" s="34" t="s">
        <v>77</v>
      </c>
      <c r="O4" s="34" t="s">
        <v>73</v>
      </c>
    </row>
    <row r="5" spans="2:15" ht="11.25">
      <c r="B5" s="3" t="s">
        <v>2</v>
      </c>
      <c r="C5" s="3"/>
      <c r="D5" s="3" t="s">
        <v>3</v>
      </c>
      <c r="E5" s="3"/>
      <c r="F5" s="3"/>
      <c r="G5" s="3"/>
      <c r="H5" s="3" t="s">
        <v>4</v>
      </c>
      <c r="I5" s="3"/>
      <c r="J5" s="3" t="s">
        <v>5</v>
      </c>
      <c r="K5" s="3" t="s">
        <v>6</v>
      </c>
      <c r="L5" s="18" t="s">
        <v>30</v>
      </c>
      <c r="M5" s="3"/>
      <c r="N5" s="34" t="s">
        <v>48</v>
      </c>
      <c r="O5" s="3" t="s">
        <v>7</v>
      </c>
    </row>
    <row r="6" spans="2:15" ht="11.25">
      <c r="B6" s="4" t="s">
        <v>8</v>
      </c>
      <c r="C6" s="4" t="s">
        <v>9</v>
      </c>
      <c r="D6" s="4" t="s">
        <v>10</v>
      </c>
      <c r="E6" s="4" t="s">
        <v>11</v>
      </c>
      <c r="F6" s="4" t="s">
        <v>12</v>
      </c>
      <c r="G6" s="4" t="s">
        <v>13</v>
      </c>
      <c r="H6" s="4" t="s">
        <v>10</v>
      </c>
      <c r="I6" s="4" t="s">
        <v>14</v>
      </c>
      <c r="J6" s="4" t="s">
        <v>15</v>
      </c>
      <c r="K6" s="4" t="s">
        <v>16</v>
      </c>
      <c r="L6" s="26" t="s">
        <v>10</v>
      </c>
      <c r="M6" s="4" t="s">
        <v>26</v>
      </c>
      <c r="N6" s="35" t="s">
        <v>8</v>
      </c>
      <c r="O6" s="32" t="s">
        <v>8</v>
      </c>
    </row>
    <row r="7" spans="1:16" s="7" customFormat="1" ht="11.25">
      <c r="A7" s="5" t="s">
        <v>17</v>
      </c>
      <c r="B7" s="6"/>
      <c r="C7" s="6"/>
      <c r="D7" s="6"/>
      <c r="E7" s="6"/>
      <c r="F7" s="6"/>
      <c r="G7" s="6"/>
      <c r="H7" s="6"/>
      <c r="I7" s="6"/>
      <c r="J7" s="6"/>
      <c r="K7" s="6"/>
      <c r="L7" s="6"/>
      <c r="M7" s="6"/>
      <c r="N7" s="6"/>
      <c r="O7" s="6"/>
      <c r="P7" s="29"/>
    </row>
    <row r="8" spans="1:15" ht="11.25" customHeight="1">
      <c r="A8" s="8" t="s">
        <v>18</v>
      </c>
      <c r="B8" s="2">
        <f>SUM(B9:B14)</f>
        <v>12055611.829999998</v>
      </c>
      <c r="C8" s="2">
        <f aca="true" t="shared" si="0" ref="C8:O8">SUM(C9:C14)</f>
        <v>74701834.78000002</v>
      </c>
      <c r="D8" s="2">
        <f t="shared" si="0"/>
        <v>18090973.779999997</v>
      </c>
      <c r="E8" s="2">
        <f t="shared" si="0"/>
        <v>4062085.0100000002</v>
      </c>
      <c r="F8" s="2">
        <f t="shared" si="0"/>
        <v>6158172.8599999985</v>
      </c>
      <c r="G8" s="2">
        <f t="shared" si="0"/>
        <v>12659875.15</v>
      </c>
      <c r="H8" s="2">
        <f t="shared" si="0"/>
        <v>2592891.5900000003</v>
      </c>
      <c r="I8" s="2">
        <f>SUM(I9:I14)</f>
        <v>1018352.86</v>
      </c>
      <c r="J8" s="2">
        <f t="shared" si="0"/>
        <v>9206834.11</v>
      </c>
      <c r="K8" s="2">
        <f t="shared" si="0"/>
        <v>1545352.73</v>
      </c>
      <c r="L8" s="2">
        <f t="shared" si="0"/>
        <v>6085666.880000001</v>
      </c>
      <c r="M8" s="2">
        <f t="shared" si="0"/>
        <v>894168.9400000001</v>
      </c>
      <c r="N8" s="2">
        <f t="shared" si="0"/>
        <v>149071820.51999998</v>
      </c>
      <c r="O8" s="2">
        <f t="shared" si="0"/>
        <v>140362419</v>
      </c>
    </row>
    <row r="9" spans="1:16" s="7" customFormat="1" ht="11.25" customHeight="1" outlineLevel="1">
      <c r="A9" s="7" t="s">
        <v>19</v>
      </c>
      <c r="B9" s="7">
        <f>SUM(Research!B9+Instruction!B9+Extension!B9)</f>
        <v>10517879.18</v>
      </c>
      <c r="C9" s="7">
        <f>SUM(Research!C9+Instruction!C9+Extension!C9)</f>
        <v>61728207.760000005</v>
      </c>
      <c r="D9" s="7">
        <f>SUM(Research!D9+Instruction!D9+Extension!D9)</f>
        <v>16459548.33</v>
      </c>
      <c r="E9" s="7">
        <f>SUM(Research!E9+Instruction!E9+Extension!E9)</f>
        <v>4017862.95</v>
      </c>
      <c r="F9" s="7">
        <f>SUM(Research!F9+Instruction!F9+Extension!F9)</f>
        <v>5326196.659999999</v>
      </c>
      <c r="G9" s="7">
        <f>SUM(Research!G9+Instruction!G9+Extension!G9)</f>
        <v>10526368.969999999</v>
      </c>
      <c r="H9" s="7">
        <f>SUM(Research!H9+Instruction!H9+Extension!H9)</f>
        <v>1524996.82</v>
      </c>
      <c r="I9" s="7">
        <f>SUM(Research!I9+Instruction!I9+Extension!I9)</f>
        <v>-30408.88</v>
      </c>
      <c r="J9" s="7">
        <f>SUM(Research!J9+Instruction!J9+Extension!J9)</f>
        <v>7753170.77</v>
      </c>
      <c r="K9" s="7">
        <f>SUM(Research!K9+Instruction!K9+Extension!K9)</f>
        <v>-37423</v>
      </c>
      <c r="L9" s="7">
        <f>SUM(Research!L9+Instruction!L9+Extension!L9)</f>
        <v>4981024.98</v>
      </c>
      <c r="M9" s="7">
        <f>SUM(Research!M9+Instruction!M9+Extension!M9)</f>
        <v>810330.52</v>
      </c>
      <c r="N9" s="7">
        <f aca="true" t="shared" si="1" ref="N9:N14">SUM(B9:M9)</f>
        <v>123577755.05999999</v>
      </c>
      <c r="O9" s="7">
        <v>118652624</v>
      </c>
      <c r="P9" s="29"/>
    </row>
    <row r="10" spans="1:16" s="7" customFormat="1" ht="11.25" customHeight="1" outlineLevel="1">
      <c r="A10" s="7" t="s">
        <v>20</v>
      </c>
      <c r="B10" s="7">
        <f>SUM(Research!B10+Instruction!B10+Extension!B10)</f>
        <v>121041.86</v>
      </c>
      <c r="C10" s="7">
        <f>SUM(Research!C10+Instruction!C10+Extension!C10)</f>
        <v>1531958.89</v>
      </c>
      <c r="D10" s="7">
        <f>SUM(Research!D10+Instruction!D10+Extension!D10)</f>
        <v>477529.39</v>
      </c>
      <c r="E10" s="7">
        <f>SUM(Research!E10+Instruction!E10+Extension!E10)</f>
        <v>0</v>
      </c>
      <c r="F10" s="7">
        <f>SUM(Research!F10+Instruction!F10+Extension!F10)</f>
        <v>173605.13</v>
      </c>
      <c r="G10" s="7">
        <f>SUM(Research!G10+Instruction!G10+Extension!G10)</f>
        <v>478007.0399999999</v>
      </c>
      <c r="H10" s="7">
        <f>SUM(Research!H10+Instruction!H10+Extension!H10)</f>
        <v>60016.61</v>
      </c>
      <c r="I10" s="7">
        <f>SUM(Research!I10+Instruction!I10+Extension!I10)</f>
        <v>0</v>
      </c>
      <c r="J10" s="7">
        <f>SUM(Research!J10+Instruction!J10+Extension!J10)</f>
        <v>482623.46</v>
      </c>
      <c r="K10" s="7">
        <f>SUM(Research!K10+Instruction!K10+Extension!K10)</f>
        <v>502555.04</v>
      </c>
      <c r="L10" s="7">
        <f>SUM(Research!L10+Instruction!L10+Extension!L10)</f>
        <v>273986.46</v>
      </c>
      <c r="M10" s="7">
        <f>SUM(Research!M10+Instruction!M10+Extension!M10)</f>
        <v>50596.51</v>
      </c>
      <c r="N10" s="7">
        <f t="shared" si="1"/>
        <v>4151920.3899999997</v>
      </c>
      <c r="O10" s="7">
        <v>3142467</v>
      </c>
      <c r="P10" s="29"/>
    </row>
    <row r="11" spans="1:15" ht="11.25" outlineLevel="1">
      <c r="A11" s="2" t="s">
        <v>21</v>
      </c>
      <c r="B11" s="2">
        <f>SUM(Research!B11+Instruction!B11+Extension!B11)</f>
        <v>0</v>
      </c>
      <c r="C11" s="2">
        <f>SUM(Research!C11+Instruction!C11+Extension!C11)</f>
        <v>7078480.09</v>
      </c>
      <c r="D11" s="2">
        <f>SUM(Research!D11+Instruction!D11+Extension!D11)</f>
        <v>0</v>
      </c>
      <c r="E11" s="2">
        <f>SUM(Research!E11+Instruction!E11+Extension!E11)</f>
        <v>0</v>
      </c>
      <c r="F11" s="2">
        <f>SUM(Research!F11+Instruction!F11+Extension!F11)</f>
        <v>0</v>
      </c>
      <c r="G11" s="2">
        <f>SUM(Research!G11+Instruction!G11+Extension!G11)</f>
        <v>0</v>
      </c>
      <c r="H11" s="2">
        <f>SUM(Research!H11+Instruction!H11+Extension!H11)</f>
        <v>0</v>
      </c>
      <c r="I11" s="2">
        <f>SUM(Research!I11+Instruction!I11+Extension!I11)</f>
        <v>0</v>
      </c>
      <c r="J11" s="2">
        <f>SUM(Research!J11+Instruction!J11+Extension!J11)</f>
        <v>0</v>
      </c>
      <c r="K11" s="2">
        <f>SUM(Research!K11+Instruction!K11+Extension!K11)</f>
        <v>0</v>
      </c>
      <c r="L11" s="2">
        <f>SUM(Research!L11+Instruction!L11+Extension!L11)</f>
        <v>0</v>
      </c>
      <c r="M11" s="2">
        <f>SUM(Research!M11+Instruction!M11+Extension!M11)</f>
        <v>0</v>
      </c>
      <c r="N11" s="7">
        <f t="shared" si="1"/>
        <v>7078480.09</v>
      </c>
      <c r="O11" s="2">
        <v>5538772</v>
      </c>
    </row>
    <row r="12" spans="1:16" ht="11.25" outlineLevel="1">
      <c r="A12" s="15" t="s">
        <v>35</v>
      </c>
      <c r="B12" s="2">
        <f>SUM(Research!B12+Instruction!B12+Extension!B12)</f>
        <v>12922.68</v>
      </c>
      <c r="C12" s="2">
        <f>SUM(Research!C12+Instruction!C12+Extension!C12)</f>
        <v>26666.96</v>
      </c>
      <c r="D12" s="2">
        <f>SUM(Research!D12+Instruction!D12+Extension!D12)</f>
        <v>49596.48</v>
      </c>
      <c r="E12" s="2">
        <f>SUM(Research!E12+Instruction!E12+Extension!E12)</f>
        <v>0</v>
      </c>
      <c r="F12" s="2">
        <f>SUM(Research!F12+Instruction!F12+Extension!F12)</f>
        <v>0</v>
      </c>
      <c r="G12" s="2">
        <f>SUM(Research!G12+Instruction!G12+Extension!G12)</f>
        <v>89849.96</v>
      </c>
      <c r="H12" s="2">
        <f>SUM(Research!H12+Instruction!H12+Extension!H12)</f>
        <v>0</v>
      </c>
      <c r="I12" s="2">
        <f>SUM(Research!I12+Instruction!I12+Extension!I12)</f>
        <v>0</v>
      </c>
      <c r="J12" s="2">
        <f>SUM(Research!J12+Instruction!J12+Extension!J12)</f>
        <v>10854.6</v>
      </c>
      <c r="K12" s="2">
        <f>SUM(Research!K12+Instruction!K12+Extension!K12)</f>
        <v>0</v>
      </c>
      <c r="L12" s="2">
        <f>SUM(Research!L12+Instruction!L12+Extension!L12)</f>
        <v>-13.6</v>
      </c>
      <c r="M12" s="2">
        <f>SUM(Research!M12+Instruction!M12+Extension!M12)</f>
        <v>0</v>
      </c>
      <c r="N12" s="7">
        <f t="shared" si="1"/>
        <v>189877.08000000002</v>
      </c>
      <c r="O12" s="2">
        <v>187998</v>
      </c>
      <c r="P12" s="29"/>
    </row>
    <row r="13" spans="1:16" ht="11.25" outlineLevel="1">
      <c r="A13" s="15" t="s">
        <v>36</v>
      </c>
      <c r="B13" s="2">
        <f>SUM(Research!B13+Instruction!B13+Extension!B13)</f>
        <v>1344257.58</v>
      </c>
      <c r="C13" s="2">
        <f>SUM(Research!C13+Instruction!C13+Extension!C13)</f>
        <v>3679625.65</v>
      </c>
      <c r="D13" s="2">
        <f>SUM(Research!D13+Instruction!D13+Extension!D13)</f>
        <v>883203.4700000001</v>
      </c>
      <c r="E13" s="2">
        <f>SUM(Research!E13+Instruction!E13+Extension!E13)</f>
        <v>44222.06</v>
      </c>
      <c r="F13" s="2">
        <f>SUM(Research!F13+Instruction!F13+Extension!F13)</f>
        <v>577991.89</v>
      </c>
      <c r="G13" s="2">
        <f>SUM(Research!G13+Instruction!G13+Extension!G13)</f>
        <v>1345583.97</v>
      </c>
      <c r="H13" s="2">
        <f>SUM(Research!H13+Instruction!H13+Extension!H13)</f>
        <v>980932.1900000001</v>
      </c>
      <c r="I13" s="2">
        <f>SUM(Research!I13+Instruction!I13+Extension!I13)</f>
        <v>1048761.74</v>
      </c>
      <c r="J13" s="2">
        <f>SUM(Research!J13+Instruction!J13+Extension!J13)</f>
        <v>734946.95</v>
      </c>
      <c r="K13" s="2">
        <f>SUM(Research!K13+Instruction!K13+Extension!K13)</f>
        <v>808840.97</v>
      </c>
      <c r="L13" s="2">
        <f>SUM(Research!L13+Instruction!L13+Extension!L13)</f>
        <v>754774.79</v>
      </c>
      <c r="M13" s="2">
        <f>SUM(Research!M13+Instruction!M13+Extension!M13)</f>
        <v>0</v>
      </c>
      <c r="N13" s="7">
        <f t="shared" si="1"/>
        <v>12203141.259999998</v>
      </c>
      <c r="O13" s="2">
        <v>11443097</v>
      </c>
      <c r="P13" s="29"/>
    </row>
    <row r="14" spans="1:16" ht="11.25" outlineLevel="1">
      <c r="A14" s="15" t="s">
        <v>37</v>
      </c>
      <c r="B14" s="2">
        <f>SUM(Research!B14+Instruction!B14+Extension!B14)</f>
        <v>59510.53</v>
      </c>
      <c r="C14" s="7">
        <f>SUM(Research!C14+Instruction!C14+Extension!C14)</f>
        <v>656895.4299999999</v>
      </c>
      <c r="D14" s="2">
        <f>SUM(Research!D14+Instruction!D14+Extension!D14)</f>
        <v>221096.11</v>
      </c>
      <c r="E14" s="2">
        <f>SUM(Research!E14+Instruction!E14+Extension!E14)</f>
        <v>0</v>
      </c>
      <c r="F14" s="2">
        <f>SUM(Research!F14+Instruction!F14+Extension!F14)</f>
        <v>80379.18</v>
      </c>
      <c r="G14" s="2">
        <f>SUM(Research!G14+Instruction!G14+Extension!G14)</f>
        <v>220065.21</v>
      </c>
      <c r="H14" s="2">
        <f>SUM(Research!H14+Instruction!H14+Extension!H14)</f>
        <v>26945.97</v>
      </c>
      <c r="I14" s="2">
        <f>SUM(Research!I14+Instruction!I14+Extension!I14)</f>
        <v>0</v>
      </c>
      <c r="J14" s="2">
        <f>SUM(Research!J14+Instruction!J14+Extension!J14)</f>
        <v>225238.33</v>
      </c>
      <c r="K14" s="2">
        <f>SUM(Research!K14+Instruction!K14+Extension!K14)</f>
        <v>271379.72</v>
      </c>
      <c r="L14" s="2">
        <f>SUM(Research!L14+Instruction!L14+Extension!L14)</f>
        <v>75894.25</v>
      </c>
      <c r="M14" s="2">
        <f>SUM(Research!M14+Instruction!M14+Extension!M14)</f>
        <v>33241.91</v>
      </c>
      <c r="N14" s="7">
        <f t="shared" si="1"/>
        <v>1870646.64</v>
      </c>
      <c r="O14" s="2">
        <v>1397461</v>
      </c>
      <c r="P14" s="18"/>
    </row>
    <row r="16" spans="1:15" ht="11.25">
      <c r="A16" s="1" t="s">
        <v>25</v>
      </c>
      <c r="B16" s="2">
        <f aca="true" t="shared" si="2" ref="B16:O16">SUM(B17:B19)</f>
        <v>2234587.17</v>
      </c>
      <c r="C16" s="2">
        <f t="shared" si="2"/>
        <v>2772993.0400000005</v>
      </c>
      <c r="D16" s="2">
        <f t="shared" si="2"/>
        <v>2364538.67</v>
      </c>
      <c r="E16" s="2">
        <f t="shared" si="2"/>
        <v>122134.36</v>
      </c>
      <c r="F16" s="2">
        <f t="shared" si="2"/>
        <v>283053.1</v>
      </c>
      <c r="G16" s="2">
        <f t="shared" si="2"/>
        <v>1377085.5599999998</v>
      </c>
      <c r="H16" s="2">
        <f t="shared" si="2"/>
        <v>1017679.79</v>
      </c>
      <c r="I16" s="2">
        <f t="shared" si="2"/>
        <v>359102.61</v>
      </c>
      <c r="J16" s="2">
        <f t="shared" si="2"/>
        <v>3498436.9600000004</v>
      </c>
      <c r="K16" s="2">
        <f t="shared" si="2"/>
        <v>642981.44</v>
      </c>
      <c r="L16" s="2">
        <f t="shared" si="2"/>
        <v>562934.24</v>
      </c>
      <c r="M16" s="2">
        <f t="shared" si="2"/>
        <v>0</v>
      </c>
      <c r="N16" s="2">
        <f t="shared" si="2"/>
        <v>15235526.940000001</v>
      </c>
      <c r="O16" s="2">
        <f t="shared" si="2"/>
        <v>15144496</v>
      </c>
    </row>
    <row r="17" spans="1:15" ht="11.25" outlineLevel="1">
      <c r="A17" s="2" t="s">
        <v>22</v>
      </c>
      <c r="B17" s="2">
        <f>SUM(Research!B17+Instruction!B17+Extension!B17)</f>
        <v>2125442.8</v>
      </c>
      <c r="C17" s="2">
        <f>SUM(Research!C17+Instruction!C17+Extension!C17)</f>
        <v>2516407.7</v>
      </c>
      <c r="D17" s="2">
        <f>SUM(Research!D17+Instruction!D17+Extension!D17)</f>
        <v>1937872</v>
      </c>
      <c r="E17" s="2">
        <f>SUM(Research!E17+Instruction!E17+Extension!E17)</f>
        <v>86822.45</v>
      </c>
      <c r="F17" s="2">
        <f>SUM(Research!F17+Instruction!F17+Extension!F17)</f>
        <v>282292.12</v>
      </c>
      <c r="G17" s="2">
        <f>SUM(Research!G17+Instruction!G17+Extension!G17)</f>
        <v>1185200.18</v>
      </c>
      <c r="H17" s="2">
        <f>SUM(Research!H17+Instruction!H17+Extension!H17)</f>
        <v>986353.14</v>
      </c>
      <c r="I17" s="2">
        <f>SUM(Research!I17+Instruction!I17+Extension!I17)</f>
        <v>359102.61</v>
      </c>
      <c r="J17" s="2">
        <f>SUM(Research!J17+Instruction!J17+Extension!J17)</f>
        <v>2870625.4600000004</v>
      </c>
      <c r="K17" s="2">
        <f>SUM(Research!K17+Instruction!K17+Extension!K17)</f>
        <v>642981.44</v>
      </c>
      <c r="L17" s="2">
        <f>SUM(Research!L17+Instruction!L17+Extension!L17)</f>
        <v>515992.07</v>
      </c>
      <c r="M17" s="2">
        <f>SUM(Research!M17+Instruction!M17+Extension!M17)</f>
        <v>0</v>
      </c>
      <c r="N17" s="7">
        <f>SUM(B17:M17)</f>
        <v>13509091.97</v>
      </c>
      <c r="O17" s="2">
        <v>13513280</v>
      </c>
    </row>
    <row r="18" spans="1:15" ht="11.25" outlineLevel="1">
      <c r="A18" s="2" t="s">
        <v>46</v>
      </c>
      <c r="B18" s="2">
        <f>SUM(Research!B18+Instruction!B18+Extension!B18)</f>
        <v>-175.23</v>
      </c>
      <c r="C18" s="2">
        <f>SUM(Research!C18+Instruction!C18+Extension!C18)</f>
        <v>-0.01</v>
      </c>
      <c r="D18" s="2">
        <f>SUM(Research!D18+Instruction!D18+Extension!D18)</f>
        <v>0</v>
      </c>
      <c r="E18" s="2">
        <f>SUM(Research!E18+Instruction!E18+Extension!E18)</f>
        <v>0</v>
      </c>
      <c r="F18" s="2">
        <f>SUM(Research!F18+Instruction!F18+Extension!F18)</f>
        <v>0</v>
      </c>
      <c r="G18" s="2">
        <f>SUM(Research!G18+Instruction!G18+Extension!G18)</f>
        <v>0</v>
      </c>
      <c r="H18" s="2">
        <f>SUM(Research!H18+Instruction!H18+Extension!H18)</f>
        <v>0</v>
      </c>
      <c r="I18" s="2">
        <f>SUM(Research!I18+Instruction!I18+Extension!I18)</f>
        <v>0</v>
      </c>
      <c r="J18" s="2">
        <f>SUM(Research!J18+Instruction!J18+Extension!J18)</f>
        <v>0</v>
      </c>
      <c r="K18" s="2">
        <f>SUM(Research!K18+Instruction!K18+Extension!K18)</f>
        <v>0</v>
      </c>
      <c r="L18" s="2">
        <f>SUM(Research!L18+Instruction!L18+Extension!L18)</f>
        <v>0</v>
      </c>
      <c r="M18" s="2">
        <f>SUM(Research!M18+Instruction!M18+Extension!M18)</f>
        <v>0</v>
      </c>
      <c r="N18" s="7">
        <f>SUM(B18:M18)</f>
        <v>-175.23999999999998</v>
      </c>
      <c r="O18" s="2">
        <v>0</v>
      </c>
    </row>
    <row r="19" spans="1:15" ht="11.25" outlineLevel="1">
      <c r="A19" s="15" t="s">
        <v>38</v>
      </c>
      <c r="B19" s="2">
        <f>SUM(Research!B19+Instruction!B19+Extension!B19)</f>
        <v>109319.6</v>
      </c>
      <c r="C19" s="2">
        <f>SUM(Research!C19+Instruction!C19+Extension!C19)</f>
        <v>256585.35</v>
      </c>
      <c r="D19" s="2">
        <f>SUM(Research!D19+Instruction!D19+Extension!D19)</f>
        <v>426666.67</v>
      </c>
      <c r="E19" s="2">
        <f>SUM(Research!E19+Instruction!E19+Extension!E19)</f>
        <v>35311.91</v>
      </c>
      <c r="F19" s="2">
        <f>SUM(Research!F19+Instruction!F19+Extension!F19)</f>
        <v>760.98</v>
      </c>
      <c r="G19" s="2">
        <f>SUM(Research!G19+Instruction!G19+Extension!G19)</f>
        <v>191885.37999999998</v>
      </c>
      <c r="H19" s="2">
        <f>SUM(Research!H19+Instruction!H19+Extension!H19)</f>
        <v>31326.65</v>
      </c>
      <c r="I19" s="2">
        <f>SUM(Research!I19+Instruction!I19+Extension!I19)</f>
        <v>0</v>
      </c>
      <c r="J19" s="2">
        <f>SUM(Research!J19+Instruction!J19+Extension!J19)</f>
        <v>627811.5</v>
      </c>
      <c r="K19" s="2">
        <f>SUM(Research!K19+Instruction!K19+Extension!K19)</f>
        <v>0</v>
      </c>
      <c r="L19" s="2">
        <f>SUM(Research!L19+Instruction!L19+Extension!L19)</f>
        <v>46942.17</v>
      </c>
      <c r="M19" s="2">
        <f>SUM(Research!M19+Instruction!M19+Extension!M19)</f>
        <v>0</v>
      </c>
      <c r="N19" s="7">
        <f>SUM(B19:M19)</f>
        <v>1726610.21</v>
      </c>
      <c r="O19" s="2">
        <v>1631216</v>
      </c>
    </row>
    <row r="21" spans="1:15" ht="11.25">
      <c r="A21" s="1" t="s">
        <v>23</v>
      </c>
      <c r="B21" s="2">
        <f aca="true" t="shared" si="3" ref="B21:O21">SUM(B22:B24)</f>
        <v>8676983.82</v>
      </c>
      <c r="C21" s="2">
        <f t="shared" si="3"/>
        <v>12763549.899999999</v>
      </c>
      <c r="D21" s="2">
        <f t="shared" si="3"/>
        <v>7772835.489999999</v>
      </c>
      <c r="E21" s="2">
        <f t="shared" si="3"/>
        <v>56544.31</v>
      </c>
      <c r="F21" s="2">
        <f t="shared" si="3"/>
        <v>4741326.800000001</v>
      </c>
      <c r="G21" s="2">
        <f t="shared" si="3"/>
        <v>9231148.29</v>
      </c>
      <c r="H21" s="2">
        <f t="shared" si="3"/>
        <v>4721881.23</v>
      </c>
      <c r="I21" s="2">
        <f t="shared" si="3"/>
        <v>3318547.86</v>
      </c>
      <c r="J21" s="2">
        <f t="shared" si="3"/>
        <v>4696173.800000001</v>
      </c>
      <c r="K21" s="2">
        <f t="shared" si="3"/>
        <v>2517189.24</v>
      </c>
      <c r="L21" s="2">
        <f t="shared" si="3"/>
        <v>7870033.16</v>
      </c>
      <c r="M21" s="2">
        <f t="shared" si="3"/>
        <v>0</v>
      </c>
      <c r="N21" s="2">
        <f t="shared" si="3"/>
        <v>66366213.89999999</v>
      </c>
      <c r="O21" s="2">
        <f t="shared" si="3"/>
        <v>68311495</v>
      </c>
    </row>
    <row r="22" spans="1:15" ht="11.25" outlineLevel="1">
      <c r="A22" s="2" t="s">
        <v>22</v>
      </c>
      <c r="B22" s="2">
        <f>SUM(Research!B22+Instruction!B22+Extension!B22)</f>
        <v>8129031.59</v>
      </c>
      <c r="C22" s="2">
        <f>SUM(Research!C22+Instruction!C22+Extension!C22)</f>
        <v>10767735.399999999</v>
      </c>
      <c r="D22" s="2">
        <f>SUM(Research!D22+Instruction!D22+Extension!D22)</f>
        <v>6146251.359999999</v>
      </c>
      <c r="E22" s="2">
        <f>SUM(Research!E22+Instruction!E22+Extension!E22)</f>
        <v>49290.31</v>
      </c>
      <c r="F22" s="2">
        <f>SUM(Research!F22+Instruction!F22+Extension!F22)</f>
        <v>188375.66</v>
      </c>
      <c r="G22" s="2">
        <f>SUM(Research!G22+Instruction!G22+Extension!G22)</f>
        <v>7183967.1899999995</v>
      </c>
      <c r="H22" s="2">
        <f>SUM(Research!H22+Instruction!H22+Extension!H22)</f>
        <v>3841019.44</v>
      </c>
      <c r="I22" s="2">
        <f>SUM(Research!I22+Instruction!I22+Extension!I22)</f>
        <v>2923804.84</v>
      </c>
      <c r="J22" s="2">
        <f>SUM(Research!J22+Instruction!J22+Extension!J22)</f>
        <v>3576738.45</v>
      </c>
      <c r="K22" s="2">
        <f>SUM(Research!K22+Instruction!K22+Extension!K22)</f>
        <v>2420599.43</v>
      </c>
      <c r="L22" s="2">
        <f>SUM(Research!L22+Instruction!L22+Extension!L22)</f>
        <v>6314801.7700000005</v>
      </c>
      <c r="M22" s="2">
        <f>SUM(Research!M22+Instruction!M22+Extension!M22)</f>
        <v>0</v>
      </c>
      <c r="N22" s="7">
        <f>SUM(B22:M22)</f>
        <v>51541615.44</v>
      </c>
      <c r="O22" s="2">
        <v>53219918</v>
      </c>
    </row>
    <row r="23" spans="1:15" ht="11.25" outlineLevel="1">
      <c r="A23" s="2" t="s">
        <v>46</v>
      </c>
      <c r="B23" s="2">
        <f>SUM(Research!B23+Instruction!B23+Extension!B23)</f>
        <v>-58250.1</v>
      </c>
      <c r="C23" s="2">
        <f>SUM(Research!C23+Instruction!C23+Extension!C23)</f>
        <v>0</v>
      </c>
      <c r="D23" s="2">
        <f>SUM(Research!D23+Instruction!D23+Extension!D23)</f>
        <v>0</v>
      </c>
      <c r="E23" s="2">
        <f>SUM(Research!E23+Instruction!E23+Extension!E23)</f>
        <v>0</v>
      </c>
      <c r="F23" s="2">
        <f>SUM(Research!F23+Instruction!F23+Extension!F23)</f>
        <v>3772193.33</v>
      </c>
      <c r="G23" s="2">
        <f>SUM(Research!G23+Instruction!G23+Extension!G23)</f>
        <v>0</v>
      </c>
      <c r="H23" s="2">
        <f>SUM(Research!H23+Instruction!H23+Extension!H23)</f>
        <v>0</v>
      </c>
      <c r="I23" s="2">
        <f>SUM(Research!I23+Instruction!I23+Extension!I23)</f>
        <v>0</v>
      </c>
      <c r="J23" s="2">
        <f>SUM(Research!J23+Instruction!J23+Extension!J23)</f>
        <v>0</v>
      </c>
      <c r="K23" s="2">
        <f>SUM(Research!K23+Instruction!K23+Extension!K23)</f>
        <v>0</v>
      </c>
      <c r="L23" s="2">
        <f>SUM(Research!L23+Instruction!L23+Extension!L23)</f>
        <v>0</v>
      </c>
      <c r="M23" s="2">
        <f>SUM(Research!M23+Instruction!M23+Extension!M23)</f>
        <v>0</v>
      </c>
      <c r="N23" s="7">
        <f>SUM(B23:M23)</f>
        <v>3713943.23</v>
      </c>
      <c r="O23" s="2">
        <v>4996911</v>
      </c>
    </row>
    <row r="24" spans="1:15" ht="11.25" outlineLevel="1">
      <c r="A24" s="15" t="s">
        <v>38</v>
      </c>
      <c r="B24" s="2">
        <f>SUM(Research!B24+Instruction!B24+Extension!B24)</f>
        <v>606202.33</v>
      </c>
      <c r="C24" s="2">
        <f>SUM(Research!C24+Instruction!C24+Extension!C24)</f>
        <v>1995814.5</v>
      </c>
      <c r="D24" s="2">
        <f>SUM(Research!D24+Instruction!D24+Extension!D24)</f>
        <v>1626584.13</v>
      </c>
      <c r="E24" s="2">
        <f>SUM(Research!E24+Instruction!E24+Extension!E24)</f>
        <v>7254</v>
      </c>
      <c r="F24" s="2">
        <f>SUM(Research!F24+Instruction!F24+Extension!F24)</f>
        <v>780757.81</v>
      </c>
      <c r="G24" s="2">
        <f>SUM(Research!G24+Instruction!G24+Extension!G24)</f>
        <v>2047181.1</v>
      </c>
      <c r="H24" s="2">
        <f>SUM(Research!H24+Instruction!H24+Extension!H24)</f>
        <v>880861.79</v>
      </c>
      <c r="I24" s="2">
        <f>SUM(Research!I24+Instruction!I24+Extension!I24)</f>
        <v>394743.02</v>
      </c>
      <c r="J24" s="2">
        <f>SUM(Research!J24+Instruction!J24+Extension!J24)</f>
        <v>1119435.35</v>
      </c>
      <c r="K24" s="2">
        <f>SUM(Research!K24+Instruction!K24+Extension!K24)</f>
        <v>96589.81</v>
      </c>
      <c r="L24" s="2">
        <f>SUM(Research!L24+Instruction!L24+Extension!L24)</f>
        <v>1555231.3900000001</v>
      </c>
      <c r="M24" s="2">
        <f>SUM(Research!M24+Instruction!M24+Extension!M24)</f>
        <v>0</v>
      </c>
      <c r="N24" s="7">
        <f>SUM(B24:M24)</f>
        <v>11110655.23</v>
      </c>
      <c r="O24" s="2">
        <v>10094666</v>
      </c>
    </row>
    <row r="26" spans="1:15" ht="11.25">
      <c r="A26" s="1" t="s">
        <v>24</v>
      </c>
      <c r="B26" s="2">
        <f aca="true" t="shared" si="4" ref="B26:O26">SUM(B27:B29)</f>
        <v>1936931.04</v>
      </c>
      <c r="C26" s="2">
        <f t="shared" si="4"/>
        <v>3988759.3800000004</v>
      </c>
      <c r="D26" s="2">
        <f t="shared" si="4"/>
        <v>674336.05</v>
      </c>
      <c r="E26" s="2">
        <f t="shared" si="4"/>
        <v>61264.14</v>
      </c>
      <c r="F26" s="2">
        <f t="shared" si="4"/>
        <v>815687.74</v>
      </c>
      <c r="G26" s="2">
        <f t="shared" si="4"/>
        <v>1515694.2</v>
      </c>
      <c r="H26" s="2">
        <f t="shared" si="4"/>
        <v>1415655.12</v>
      </c>
      <c r="I26" s="2">
        <f t="shared" si="4"/>
        <v>61274.34</v>
      </c>
      <c r="J26" s="2">
        <f t="shared" si="4"/>
        <v>473358.1</v>
      </c>
      <c r="K26" s="2">
        <f t="shared" si="4"/>
        <v>155033.09000000003</v>
      </c>
      <c r="L26" s="2">
        <f t="shared" si="4"/>
        <v>2214870.85</v>
      </c>
      <c r="M26" s="2">
        <f t="shared" si="4"/>
        <v>0</v>
      </c>
      <c r="N26" s="2">
        <f t="shared" si="4"/>
        <v>13312864.049999999</v>
      </c>
      <c r="O26" s="2">
        <f t="shared" si="4"/>
        <v>10611135</v>
      </c>
    </row>
    <row r="27" spans="1:15" ht="11.25" outlineLevel="1">
      <c r="A27" s="2" t="s">
        <v>22</v>
      </c>
      <c r="B27" s="2">
        <f>SUM(Research!B27+Instruction!B27+Extension!B27)</f>
        <v>1869000.7</v>
      </c>
      <c r="C27" s="2">
        <f>SUM(Research!C27+Instruction!C27+Extension!C27)</f>
        <v>3983233.66</v>
      </c>
      <c r="D27" s="2">
        <f>SUM(Research!D27+Instruction!D27+Extension!D27)</f>
        <v>649578.74</v>
      </c>
      <c r="E27" s="2">
        <f>SUM(Research!E27+Instruction!E27+Extension!E27)</f>
        <v>61264.14</v>
      </c>
      <c r="F27" s="2">
        <f>SUM(Research!F27+Instruction!F27+Extension!F27)</f>
        <v>761680.79</v>
      </c>
      <c r="G27" s="2">
        <f>SUM(Research!G27+Instruction!G27+Extension!G27)</f>
        <v>1515664.77</v>
      </c>
      <c r="H27" s="2">
        <f>SUM(Research!H27+Instruction!H27+Extension!H27)</f>
        <v>1238457.56</v>
      </c>
      <c r="I27" s="2">
        <f>SUM(Research!I27+Instruction!I27+Extension!I27)</f>
        <v>61274.34</v>
      </c>
      <c r="J27" s="2">
        <f>SUM(Research!J27+Instruction!J27+Extension!J27)</f>
        <v>446909.73</v>
      </c>
      <c r="K27" s="2">
        <f>SUM(Research!K27+Instruction!K27+Extension!K27)</f>
        <v>15444.92</v>
      </c>
      <c r="L27" s="2">
        <f>SUM(Research!L27+Instruction!L27+Extension!L27)</f>
        <v>2168820.38</v>
      </c>
      <c r="M27" s="2">
        <f>SUM(Research!M27+Instruction!M27+Extension!M27)</f>
        <v>0</v>
      </c>
      <c r="N27" s="7">
        <f>SUM(B27:M27)</f>
        <v>12771329.73</v>
      </c>
      <c r="O27" s="2">
        <v>10101950</v>
      </c>
    </row>
    <row r="28" spans="1:15" ht="11.25" outlineLevel="1">
      <c r="A28" s="2" t="s">
        <v>46</v>
      </c>
      <c r="B28" s="2">
        <f>SUM(Research!B28+Instruction!B28+Extension!B28)</f>
        <v>1454.54</v>
      </c>
      <c r="C28" s="2">
        <f>SUM(Research!C28+Instruction!C28+Extension!C28)</f>
        <v>0</v>
      </c>
      <c r="D28" s="2">
        <f>SUM(Research!D28+Instruction!D28+Extension!D28)</f>
        <v>0</v>
      </c>
      <c r="E28" s="2">
        <f>SUM(Research!E28+Instruction!E28+Extension!E28)</f>
        <v>0</v>
      </c>
      <c r="F28" s="2">
        <f>SUM(Research!F28+Instruction!F28+Extension!F28)</f>
        <v>0</v>
      </c>
      <c r="G28" s="2">
        <f>SUM(Research!G28+Instruction!G28+Extension!G28)</f>
        <v>0</v>
      </c>
      <c r="H28" s="2">
        <f>SUM(Research!H28+Instruction!H28+Extension!H28)</f>
        <v>0</v>
      </c>
      <c r="I28" s="2">
        <f>SUM(Research!I28+Instruction!I28+Extension!I28)</f>
        <v>0</v>
      </c>
      <c r="J28" s="2">
        <f>SUM(Research!J28+Instruction!J28+Extension!J28)</f>
        <v>0</v>
      </c>
      <c r="K28" s="2">
        <f>SUM(Research!K28+Instruction!K28+Extension!K28)</f>
        <v>0</v>
      </c>
      <c r="L28" s="2">
        <f>SUM(Research!L28+Instruction!L28+Extension!L28)</f>
        <v>0</v>
      </c>
      <c r="M28" s="2">
        <f>SUM(Research!M28+Instruction!M28+Extension!M28)</f>
        <v>0</v>
      </c>
      <c r="N28" s="7">
        <f>SUM(B28:M28)</f>
        <v>1454.54</v>
      </c>
      <c r="O28" s="2">
        <v>-2989</v>
      </c>
    </row>
    <row r="29" spans="1:15" ht="11.25" outlineLevel="1">
      <c r="A29" s="15" t="s">
        <v>38</v>
      </c>
      <c r="B29" s="2">
        <f>SUM(Research!B29+Instruction!B29+Extension!B29)</f>
        <v>66475.8</v>
      </c>
      <c r="C29" s="2">
        <f>SUM(Research!C29+Instruction!C29+Extension!C29)</f>
        <v>5525.72</v>
      </c>
      <c r="D29" s="2">
        <f>SUM(Research!D29+Instruction!D29+Extension!D29)</f>
        <v>24757.31</v>
      </c>
      <c r="E29" s="2">
        <f>SUM(Research!E29+Instruction!E29+Extension!E29)</f>
        <v>0</v>
      </c>
      <c r="F29" s="2">
        <f>SUM(Research!F29+Instruction!F29+Extension!F29)</f>
        <v>54006.95</v>
      </c>
      <c r="G29" s="2">
        <f>SUM(Research!G29+Instruction!G29+Extension!G29)</f>
        <v>29.43</v>
      </c>
      <c r="H29" s="2">
        <f>SUM(Research!H29+Instruction!H29+Extension!H29)</f>
        <v>177197.55999999997</v>
      </c>
      <c r="I29" s="2">
        <f>SUM(Research!I29+Instruction!I29+Extension!I29)</f>
        <v>0</v>
      </c>
      <c r="J29" s="2">
        <f>SUM(Research!J29+Instruction!J29+Extension!J29)</f>
        <v>26448.37</v>
      </c>
      <c r="K29" s="2">
        <f>SUM(Research!K29+Instruction!K29+Extension!K29)</f>
        <v>139588.17</v>
      </c>
      <c r="L29" s="2">
        <f>SUM(Research!L29+Instruction!L29+Extension!L29)</f>
        <v>46050.47</v>
      </c>
      <c r="M29" s="2">
        <f>SUM(Research!M29+Instruction!M29+Extension!M29)</f>
        <v>0</v>
      </c>
      <c r="N29" s="7">
        <f>SUM(B29:M29)</f>
        <v>540079.7799999999</v>
      </c>
      <c r="O29" s="2">
        <v>512174</v>
      </c>
    </row>
    <row r="30" ht="11.25">
      <c r="N30" s="7"/>
    </row>
    <row r="31" spans="1:15" ht="11.25">
      <c r="A31" s="1" t="s">
        <v>27</v>
      </c>
      <c r="B31" s="2">
        <f>SUM(Research!B31+Instruction!B31+Extension!B31)</f>
        <v>-4663.1</v>
      </c>
      <c r="C31" s="2">
        <f>SUM(Research!C31+Instruction!C31+Extension!C31)</f>
        <v>7385709.61</v>
      </c>
      <c r="D31" s="2">
        <f>SUM(Research!D31+Instruction!D31+Extension!D31)</f>
        <v>0</v>
      </c>
      <c r="E31" s="2">
        <f>SUM(Research!E31+Instruction!E31+Extension!E31)</f>
        <v>0</v>
      </c>
      <c r="F31" s="2">
        <f>SUM(Research!F31+Instruction!F31+Extension!F31)</f>
        <v>0</v>
      </c>
      <c r="G31" s="2">
        <f>SUM(Research!G31+Instruction!G31+Extension!G31)</f>
        <v>0</v>
      </c>
      <c r="H31" s="2">
        <f>SUM(Research!H31+Instruction!H31+Extension!H31)</f>
        <v>0</v>
      </c>
      <c r="I31" s="2">
        <f>SUM(Research!I31+Instruction!I31+Extension!I31)</f>
        <v>0</v>
      </c>
      <c r="J31" s="2">
        <f>SUM(Research!J31+Instruction!J31+Extension!J31)</f>
        <v>0</v>
      </c>
      <c r="K31" s="2">
        <f>SUM(Research!K31+Instruction!K31+Extension!K31)</f>
        <v>0</v>
      </c>
      <c r="L31" s="2">
        <f>SUM(Research!L31+Instruction!L31+Extension!L31)</f>
        <v>0</v>
      </c>
      <c r="M31" s="2">
        <f>SUM(Research!M31+Instruction!M31+Extension!M31)</f>
        <v>0</v>
      </c>
      <c r="N31" s="7">
        <f>SUM(B31:M31)</f>
        <v>7381046.510000001</v>
      </c>
      <c r="O31" s="2">
        <v>6730342</v>
      </c>
    </row>
    <row r="32" spans="1:14" ht="11.25">
      <c r="A32" s="1"/>
      <c r="N32" s="7"/>
    </row>
    <row r="33" spans="1:16" s="40" customFormat="1" ht="11.25">
      <c r="A33" s="39" t="s">
        <v>72</v>
      </c>
      <c r="B33" s="40">
        <f aca="true" t="shared" si="5" ref="B33:L33">((B19+B24+B29)/(B17+B18+B22+B23+B27+B28))</f>
        <v>0.06480731374703111</v>
      </c>
      <c r="C33" s="40">
        <f t="shared" si="5"/>
        <v>0.13076251260921845</v>
      </c>
      <c r="D33" s="40">
        <f t="shared" si="5"/>
        <v>0.23792981329189142</v>
      </c>
      <c r="E33" s="40">
        <f t="shared" si="5"/>
        <v>0.21565801266510923</v>
      </c>
      <c r="F33" s="40">
        <f t="shared" si="5"/>
        <v>0.16695349078803795</v>
      </c>
      <c r="G33" s="40">
        <f t="shared" si="5"/>
        <v>0.22651835441284493</v>
      </c>
      <c r="H33" s="40">
        <f t="shared" si="5"/>
        <v>0.17959388490228972</v>
      </c>
      <c r="I33" s="40">
        <f t="shared" si="5"/>
        <v>0.11803874453846604</v>
      </c>
      <c r="J33" s="40">
        <f t="shared" si="5"/>
        <v>0.2572707891530688</v>
      </c>
      <c r="K33" s="40">
        <f t="shared" si="5"/>
        <v>0.07670542441283026</v>
      </c>
      <c r="L33" s="40">
        <f t="shared" si="5"/>
        <v>0.18314385369287528</v>
      </c>
      <c r="N33" s="40">
        <f>((N19+N24+N29)/(N17+N18+N22+N23+N27+N28))</f>
        <v>0.16406419928927196</v>
      </c>
      <c r="O33" s="40">
        <f>((O19+O24+O29)/(O17+O18+O22+O23+O27+O28))</f>
        <v>0.14955633737496957</v>
      </c>
      <c r="P33" s="41"/>
    </row>
    <row r="34" spans="2:15" ht="11.25">
      <c r="B34" s="9"/>
      <c r="C34" s="9"/>
      <c r="D34" s="9"/>
      <c r="E34" s="9"/>
      <c r="F34" s="9"/>
      <c r="G34" s="9"/>
      <c r="H34" s="9"/>
      <c r="I34" s="9"/>
      <c r="J34" s="9"/>
      <c r="K34" s="9"/>
      <c r="L34" s="9"/>
      <c r="M34" s="9"/>
      <c r="N34" s="9"/>
      <c r="O34" s="9"/>
    </row>
    <row r="35" spans="1:15" ht="12" thickBot="1">
      <c r="A35" s="8" t="s">
        <v>7</v>
      </c>
      <c r="B35" s="10">
        <f aca="true" t="shared" si="6" ref="B35:O35">+B31+B26+B21+B16+B8</f>
        <v>24899450.759999998</v>
      </c>
      <c r="C35" s="10">
        <f t="shared" si="6"/>
        <v>101612846.71000001</v>
      </c>
      <c r="D35" s="10">
        <f t="shared" si="6"/>
        <v>28902683.989999995</v>
      </c>
      <c r="E35" s="10">
        <f t="shared" si="6"/>
        <v>4302027.82</v>
      </c>
      <c r="F35" s="10">
        <f t="shared" si="6"/>
        <v>11998240.5</v>
      </c>
      <c r="G35" s="10">
        <f t="shared" si="6"/>
        <v>24783803.2</v>
      </c>
      <c r="H35" s="10">
        <f t="shared" si="6"/>
        <v>9748107.73</v>
      </c>
      <c r="I35" s="10">
        <f t="shared" si="6"/>
        <v>4757277.67</v>
      </c>
      <c r="J35" s="10">
        <f t="shared" si="6"/>
        <v>17874802.97</v>
      </c>
      <c r="K35" s="10">
        <f t="shared" si="6"/>
        <v>4860556.5</v>
      </c>
      <c r="L35" s="10">
        <f t="shared" si="6"/>
        <v>16733505.13</v>
      </c>
      <c r="M35" s="10">
        <f t="shared" si="6"/>
        <v>894168.9400000001</v>
      </c>
      <c r="N35" s="10">
        <f t="shared" si="6"/>
        <v>251367471.91999996</v>
      </c>
      <c r="O35" s="10">
        <f t="shared" si="6"/>
        <v>241159887</v>
      </c>
    </row>
    <row r="36" ht="12" thickTop="1"/>
    <row r="37" ht="11.25">
      <c r="A37" s="8"/>
    </row>
    <row r="39" spans="2:9" ht="11.25">
      <c r="B39" s="27"/>
      <c r="C39" s="12"/>
      <c r="D39" s="12"/>
      <c r="E39" s="12"/>
      <c r="F39" s="12"/>
      <c r="G39" s="12"/>
      <c r="H39" s="12"/>
      <c r="I39" s="12"/>
    </row>
    <row r="40" spans="2:9" ht="11.25">
      <c r="B40" s="12"/>
      <c r="C40" s="12"/>
      <c r="D40" s="12"/>
      <c r="E40" s="12"/>
      <c r="F40" s="12"/>
      <c r="G40" s="12"/>
      <c r="H40" s="12"/>
      <c r="I40" s="12"/>
    </row>
    <row r="41" spans="2:9" ht="11.25">
      <c r="B41" s="12"/>
      <c r="C41" s="12"/>
      <c r="D41" s="12"/>
      <c r="E41" s="12"/>
      <c r="F41" s="12"/>
      <c r="G41" s="12"/>
      <c r="H41" s="12"/>
      <c r="I41" s="12"/>
    </row>
    <row r="42" spans="2:9" ht="11.25">
      <c r="B42" s="12"/>
      <c r="C42" s="12"/>
      <c r="D42" s="12"/>
      <c r="E42" s="12"/>
      <c r="F42" s="12"/>
      <c r="G42" s="12"/>
      <c r="H42" s="12"/>
      <c r="I42" s="12"/>
    </row>
    <row r="43" spans="2:9" ht="11.25">
      <c r="B43" s="12"/>
      <c r="C43" s="12"/>
      <c r="D43" s="12"/>
      <c r="E43" s="12"/>
      <c r="F43" s="12"/>
      <c r="G43" s="12"/>
      <c r="H43" s="12"/>
      <c r="I43" s="12"/>
    </row>
    <row r="45" spans="11:15" ht="11.25">
      <c r="K45" s="12"/>
      <c r="L45" s="12"/>
      <c r="M45" s="12"/>
      <c r="N45" s="12"/>
      <c r="O45" s="12"/>
    </row>
    <row r="46" spans="11:15" ht="11.25">
      <c r="K46" s="12"/>
      <c r="L46" s="12"/>
      <c r="M46" s="12"/>
      <c r="N46" s="12"/>
      <c r="O46" s="12"/>
    </row>
    <row r="47" spans="11:15" ht="11.25">
      <c r="K47" s="8" t="s">
        <v>49</v>
      </c>
      <c r="N47" s="28" t="s">
        <v>50</v>
      </c>
      <c r="O47" s="28" t="s">
        <v>51</v>
      </c>
    </row>
    <row r="48" spans="11:15" ht="11.25">
      <c r="K48" s="8"/>
      <c r="N48" s="28" t="s">
        <v>52</v>
      </c>
      <c r="O48" s="28" t="s">
        <v>53</v>
      </c>
    </row>
    <row r="50" spans="11:15" ht="11.25">
      <c r="K50" s="2" t="s">
        <v>54</v>
      </c>
      <c r="L50" s="12"/>
      <c r="M50" s="12"/>
      <c r="N50" s="2">
        <f>Research!O50+Extension!N50</f>
        <v>141283948.46</v>
      </c>
      <c r="O50" s="2">
        <f>Research!P50+Extension!O50</f>
        <v>232885665.49</v>
      </c>
    </row>
    <row r="51" spans="11:15" ht="11.25">
      <c r="K51" s="2" t="s">
        <v>55</v>
      </c>
      <c r="L51" s="12"/>
      <c r="M51" s="12"/>
      <c r="N51" s="2">
        <f>Research!O51+Instruction!N51+Extension!N51</f>
        <v>81468526.11</v>
      </c>
      <c r="O51" s="2">
        <f>Research!P51+Instruction!O51+Extension!O51</f>
        <v>81537262</v>
      </c>
    </row>
    <row r="52" spans="12:13" ht="11.25">
      <c r="L52" s="12"/>
      <c r="M52" s="12"/>
    </row>
    <row r="53" spans="11:15" ht="12" thickBot="1">
      <c r="K53" s="2" t="s">
        <v>56</v>
      </c>
      <c r="L53" s="12"/>
      <c r="M53" s="12"/>
      <c r="N53" s="10">
        <f>+N50+N51</f>
        <v>222752474.57</v>
      </c>
      <c r="O53" s="10">
        <f>+O50+O51</f>
        <v>314422927.49</v>
      </c>
    </row>
    <row r="54" spans="12:13" ht="12" thickTop="1">
      <c r="L54" s="12"/>
      <c r="M54" s="12"/>
    </row>
    <row r="55" spans="1:15" ht="11.25">
      <c r="A55" s="11"/>
      <c r="B55" s="12"/>
      <c r="C55" s="12"/>
      <c r="D55" s="12"/>
      <c r="E55" s="12"/>
      <c r="F55" s="12"/>
      <c r="G55" s="12"/>
      <c r="H55" s="12"/>
      <c r="I55" s="12"/>
      <c r="J55" s="12"/>
      <c r="K55" s="15" t="s">
        <v>35</v>
      </c>
      <c r="N55" s="2">
        <f>N12</f>
        <v>189877.08000000002</v>
      </c>
      <c r="O55" s="2">
        <f>N12</f>
        <v>189877.08000000002</v>
      </c>
    </row>
    <row r="56" spans="1:15" ht="11.25">
      <c r="A56" s="11"/>
      <c r="B56" s="12"/>
      <c r="C56" s="12"/>
      <c r="D56" s="12"/>
      <c r="E56" s="12"/>
      <c r="F56" s="12"/>
      <c r="G56" s="12"/>
      <c r="H56" s="12"/>
      <c r="I56" s="12"/>
      <c r="J56" s="12"/>
      <c r="K56" s="15" t="s">
        <v>36</v>
      </c>
      <c r="N56" s="2">
        <f>N13</f>
        <v>12203141.259999998</v>
      </c>
      <c r="O56" s="2">
        <f>N13</f>
        <v>12203141.259999998</v>
      </c>
    </row>
    <row r="57" spans="2:15" ht="11.25">
      <c r="B57" s="12"/>
      <c r="C57" s="12"/>
      <c r="D57" s="12"/>
      <c r="E57" s="12"/>
      <c r="F57" s="12"/>
      <c r="G57" s="12"/>
      <c r="H57" s="12"/>
      <c r="I57" s="12"/>
      <c r="J57" s="12"/>
      <c r="K57" s="15" t="s">
        <v>38</v>
      </c>
      <c r="N57" s="2">
        <f>N19+N24+N29</f>
        <v>13377345.22</v>
      </c>
      <c r="O57" s="2">
        <f>N19+N24+N29</f>
        <v>13377345.22</v>
      </c>
    </row>
    <row r="58" spans="2:15" ht="11.25">
      <c r="B58" s="12"/>
      <c r="C58" s="12"/>
      <c r="D58" s="12"/>
      <c r="E58" s="12"/>
      <c r="F58" s="12"/>
      <c r="G58" s="12"/>
      <c r="H58" s="12"/>
      <c r="I58" s="12"/>
      <c r="J58" s="12"/>
      <c r="K58" s="15" t="s">
        <v>37</v>
      </c>
      <c r="L58" s="12"/>
      <c r="M58" s="12"/>
      <c r="N58" s="2">
        <f>N14</f>
        <v>1870646.64</v>
      </c>
      <c r="O58" s="2">
        <f>N14</f>
        <v>1870646.64</v>
      </c>
    </row>
    <row r="59" spans="2:15" ht="11.25">
      <c r="B59" s="12"/>
      <c r="C59" s="12"/>
      <c r="D59" s="12"/>
      <c r="E59" s="12"/>
      <c r="F59" s="12"/>
      <c r="G59" s="12"/>
      <c r="H59" s="12"/>
      <c r="I59" s="12"/>
      <c r="J59" s="12"/>
      <c r="K59" s="2" t="s">
        <v>57</v>
      </c>
      <c r="N59" s="2">
        <f>Instruction!N59</f>
        <v>603993.8</v>
      </c>
      <c r="O59" s="2">
        <f>Instruction!N59</f>
        <v>603993.8</v>
      </c>
    </row>
    <row r="60" spans="2:15" ht="11.25">
      <c r="B60" s="12"/>
      <c r="C60" s="12"/>
      <c r="D60" s="12"/>
      <c r="E60" s="12"/>
      <c r="F60" s="12"/>
      <c r="G60" s="12"/>
      <c r="H60" s="12"/>
      <c r="I60" s="12"/>
      <c r="J60" s="12"/>
      <c r="K60" s="2" t="s">
        <v>58</v>
      </c>
      <c r="L60" s="12"/>
      <c r="M60" s="12"/>
      <c r="N60" s="2">
        <f>Research!O59+Instruction!N60+Extension!N59</f>
        <v>369993.35</v>
      </c>
      <c r="O60" s="2">
        <f>Research!P59+Instruction!O60+Extension!O59</f>
        <v>301259.79</v>
      </c>
    </row>
    <row r="61" spans="2:15" ht="11.25">
      <c r="B61" s="12"/>
      <c r="C61" s="12"/>
      <c r="D61" s="12"/>
      <c r="E61" s="12"/>
      <c r="F61" s="12"/>
      <c r="G61" s="12"/>
      <c r="H61" s="12"/>
      <c r="I61" s="12"/>
      <c r="J61" s="12"/>
      <c r="K61" s="2" t="s">
        <v>59</v>
      </c>
      <c r="L61" s="12"/>
      <c r="M61" s="12"/>
      <c r="O61" s="2">
        <f>Research!P60+Instruction!O61+Extension!O60</f>
        <v>6150</v>
      </c>
    </row>
    <row r="62" spans="11:15" ht="11.25">
      <c r="K62" s="2" t="s">
        <v>75</v>
      </c>
      <c r="L62" s="12"/>
      <c r="M62" s="12"/>
      <c r="O62" s="2">
        <f>Research!P61</f>
        <v>0</v>
      </c>
    </row>
    <row r="63" spans="11:15" ht="11.25">
      <c r="K63" s="2" t="s">
        <v>71</v>
      </c>
      <c r="L63" s="12"/>
      <c r="M63" s="12"/>
      <c r="O63" s="2">
        <f>Research!P62+Extension!O61</f>
        <v>-87156979</v>
      </c>
    </row>
    <row r="64" spans="11:15" ht="11.25">
      <c r="K64" s="2" t="s">
        <v>60</v>
      </c>
      <c r="L64" s="12"/>
      <c r="M64" s="12"/>
      <c r="N64" s="2">
        <f>Research!O63+Extension!N62</f>
        <v>0</v>
      </c>
      <c r="O64" s="2">
        <f>Research!P63+Extension!O62</f>
        <v>-4450887.75</v>
      </c>
    </row>
    <row r="65" spans="12:13" ht="11.25">
      <c r="L65" s="12"/>
      <c r="M65" s="12"/>
    </row>
    <row r="66" spans="11:15" ht="12" thickBot="1">
      <c r="K66" s="2" t="s">
        <v>61</v>
      </c>
      <c r="L66" s="12"/>
      <c r="M66" s="12"/>
      <c r="N66" s="10">
        <f>SUM(N53:N64)</f>
        <v>251367471.92</v>
      </c>
      <c r="O66" s="10">
        <f>SUM(O53:O64)</f>
        <v>251367474.53000003</v>
      </c>
    </row>
    <row r="67" spans="11:13" ht="12" thickTop="1">
      <c r="K67" s="12"/>
      <c r="L67" s="12"/>
      <c r="M67" s="12"/>
    </row>
    <row r="68" spans="11:15" ht="11.25">
      <c r="K68" s="12"/>
      <c r="L68" s="12"/>
      <c r="M68" s="12"/>
      <c r="N68" s="2">
        <f>+N35-N66</f>
        <v>0</v>
      </c>
      <c r="O68" s="2">
        <f>N66-O66</f>
        <v>-2.610000044107437</v>
      </c>
    </row>
    <row r="69" spans="11:15" ht="11.25">
      <c r="K69" s="12"/>
      <c r="L69" s="12"/>
      <c r="M69" s="12"/>
      <c r="N69" s="12"/>
      <c r="O69" s="12"/>
    </row>
    <row r="70" spans="11:15" ht="11.25">
      <c r="K70" s="12"/>
      <c r="L70" s="12"/>
      <c r="M70" s="12"/>
      <c r="N70" s="12"/>
      <c r="O70" s="12"/>
    </row>
  </sheetData>
  <sheetProtection/>
  <printOptions horizontalCentered="1" verticalCentered="1"/>
  <pageMargins left="0" right="0" top="0.5" bottom="0.5" header="0.25" footer="0.25"/>
  <pageSetup fitToHeight="1" fitToWidth="1" horizontalDpi="300" verticalDpi="300" orientation="landscape" scale="74" r:id="rId1"/>
  <headerFooter alignWithMargins="0">
    <oddHeader>&amp;L11/04/15&amp;C&amp;F</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P66"/>
  <sheetViews>
    <sheetView zoomScalePageLayoutView="0" workbookViewId="0" topLeftCell="A1">
      <pane xSplit="1" ySplit="6" topLeftCell="B46" activePane="bottomRight" state="frozen"/>
      <selection pane="topLeft" activeCell="O2" sqref="O2"/>
      <selection pane="topRight" activeCell="O2" sqref="O2"/>
      <selection pane="bottomLeft" activeCell="O2" sqref="O2"/>
      <selection pane="bottomRight" activeCell="B9" sqref="B9"/>
    </sheetView>
  </sheetViews>
  <sheetFormatPr defaultColWidth="9.140625" defaultRowHeight="12.75" outlineLevelRow="1"/>
  <cols>
    <col min="1" max="1" width="19.00390625" style="15" customWidth="1"/>
    <col min="2" max="2" width="10.57421875" style="15" customWidth="1"/>
    <col min="3" max="3" width="10.8515625" style="15" customWidth="1"/>
    <col min="4" max="4" width="10.57421875" style="15" customWidth="1"/>
    <col min="5" max="5" width="10.28125" style="15" customWidth="1"/>
    <col min="6" max="6" width="9.7109375" style="15" customWidth="1"/>
    <col min="7" max="7" width="10.57421875" style="15" customWidth="1"/>
    <col min="8" max="9" width="9.140625" style="15" customWidth="1"/>
    <col min="10" max="11" width="10.140625" style="15" customWidth="1"/>
    <col min="12" max="13" width="9.140625" style="15" customWidth="1"/>
    <col min="14" max="14" width="9.57421875" style="15" bestFit="1" customWidth="1"/>
    <col min="15" max="15" width="10.421875" style="15" bestFit="1" customWidth="1"/>
    <col min="16" max="16" width="10.8515625" style="15" bestFit="1" customWidth="1"/>
    <col min="17" max="16384" width="9.140625" style="15" customWidth="1"/>
  </cols>
  <sheetData>
    <row r="1" spans="1:16" ht="11.25">
      <c r="A1" s="8" t="s">
        <v>76</v>
      </c>
      <c r="H1" s="13"/>
      <c r="P1" s="33" t="s">
        <v>43</v>
      </c>
    </row>
    <row r="2" ht="11.25">
      <c r="A2" s="14" t="s">
        <v>33</v>
      </c>
    </row>
    <row r="3" ht="11.25">
      <c r="P3" s="29" t="s">
        <v>34</v>
      </c>
    </row>
    <row r="4" spans="1:15" ht="11.25">
      <c r="A4" s="14" t="s">
        <v>40</v>
      </c>
      <c r="B4" s="16"/>
      <c r="C4" s="16"/>
      <c r="D4" s="16"/>
      <c r="E4" s="16"/>
      <c r="F4" s="16"/>
      <c r="G4" s="16"/>
      <c r="H4" s="16" t="s">
        <v>1</v>
      </c>
      <c r="I4" s="16"/>
      <c r="J4" s="16"/>
      <c r="K4" s="16"/>
      <c r="L4" s="16" t="s">
        <v>29</v>
      </c>
      <c r="M4" s="16"/>
      <c r="N4" s="38" t="s">
        <v>77</v>
      </c>
      <c r="O4" s="38" t="s">
        <v>73</v>
      </c>
    </row>
    <row r="5" spans="2:15" ht="11.25">
      <c r="B5" s="16" t="s">
        <v>2</v>
      </c>
      <c r="C5" s="16"/>
      <c r="D5" s="16" t="s">
        <v>3</v>
      </c>
      <c r="E5" s="16"/>
      <c r="F5" s="16"/>
      <c r="G5" s="16"/>
      <c r="H5" s="16" t="s">
        <v>4</v>
      </c>
      <c r="I5" s="16"/>
      <c r="J5" s="16" t="s">
        <v>5</v>
      </c>
      <c r="K5" s="16" t="s">
        <v>6</v>
      </c>
      <c r="L5" s="16" t="s">
        <v>30</v>
      </c>
      <c r="M5" s="16"/>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6" t="s">
        <v>26</v>
      </c>
      <c r="N6" s="31" t="s">
        <v>8</v>
      </c>
      <c r="O6" s="17" t="s">
        <v>8</v>
      </c>
    </row>
    <row r="7" spans="1:14" s="19" customFormat="1" ht="11.25">
      <c r="A7" s="5" t="s">
        <v>17</v>
      </c>
      <c r="B7" s="18"/>
      <c r="C7" s="18"/>
      <c r="D7" s="18"/>
      <c r="E7" s="18"/>
      <c r="F7" s="18"/>
      <c r="G7" s="18"/>
      <c r="H7" s="18"/>
      <c r="I7" s="18"/>
      <c r="J7" s="18"/>
      <c r="K7" s="18"/>
      <c r="L7" s="18"/>
      <c r="M7" s="18"/>
      <c r="N7" s="18"/>
    </row>
    <row r="8" spans="1:15" ht="11.25" customHeight="1">
      <c r="A8" s="8" t="s">
        <v>18</v>
      </c>
      <c r="B8" s="15">
        <f>SUM(B9:B14)-0.4</f>
        <v>6141521.209999999</v>
      </c>
      <c r="C8" s="15">
        <f>SUM(C9:C14)</f>
        <v>36539408.73</v>
      </c>
      <c r="D8" s="15">
        <f>SUM(D9:D14)</f>
        <v>17855939.83</v>
      </c>
      <c r="E8" s="15">
        <f aca="true" t="shared" si="0" ref="E8:K8">SUM(E9:E14)</f>
        <v>3981820.86</v>
      </c>
      <c r="F8" s="15">
        <f>SUM(F9:F14)</f>
        <v>650890.6499999999</v>
      </c>
      <c r="G8" s="15">
        <f>SUM(G9:G14)</f>
        <v>8755288.299999999</v>
      </c>
      <c r="H8" s="15">
        <f>ROUND(SUM(H9:H14),0)</f>
        <v>2247219</v>
      </c>
      <c r="I8" s="15">
        <f t="shared" si="0"/>
        <v>-30408.88</v>
      </c>
      <c r="J8" s="15">
        <f>SUM(J9:J14)</f>
        <v>5577220.7299999995</v>
      </c>
      <c r="K8" s="15">
        <f t="shared" si="0"/>
        <v>-37423</v>
      </c>
      <c r="L8" s="15">
        <f>ROUND(SUM(L9:L14),0)</f>
        <v>2685866</v>
      </c>
      <c r="M8" s="15">
        <f>ROUND(SUM(M9:M14),0)</f>
        <v>786724</v>
      </c>
      <c r="N8" s="15">
        <f>ROUND(SUM(N9:N14),0)</f>
        <v>85154068</v>
      </c>
      <c r="O8" s="15">
        <f>ROUND(SUM(O9:O14),0)</f>
        <v>84526818</v>
      </c>
    </row>
    <row r="9" spans="1:15" s="19" customFormat="1" ht="11.25" customHeight="1" outlineLevel="1">
      <c r="A9" s="19" t="s">
        <v>19</v>
      </c>
      <c r="B9" s="19">
        <v>5829360.43</v>
      </c>
      <c r="C9" s="19">
        <v>25844124.88</v>
      </c>
      <c r="D9" s="19">
        <v>16459548.33</v>
      </c>
      <c r="E9" s="19">
        <v>3944182.5</v>
      </c>
      <c r="F9" s="19">
        <v>235147.02</v>
      </c>
      <c r="G9" s="19">
        <v>7295845.89</v>
      </c>
      <c r="H9" s="19">
        <v>1523909.29</v>
      </c>
      <c r="I9" s="19">
        <v>-30408.88</v>
      </c>
      <c r="J9" s="19">
        <v>4699172.59</v>
      </c>
      <c r="K9" s="19">
        <v>-37423</v>
      </c>
      <c r="L9" s="19">
        <v>2264120.45</v>
      </c>
      <c r="M9" s="19">
        <v>702885.38</v>
      </c>
      <c r="N9" s="19">
        <f aca="true" t="shared" si="1" ref="N9:N14">SUM(B9:M9)</f>
        <v>68730464.88</v>
      </c>
      <c r="O9" s="19">
        <v>70698622</v>
      </c>
    </row>
    <row r="10" spans="1:15" s="19" customFormat="1" ht="11.25" customHeight="1" outlineLevel="1">
      <c r="A10" s="19" t="s">
        <v>20</v>
      </c>
      <c r="B10" s="19">
        <v>81178</v>
      </c>
      <c r="C10" s="19">
        <v>823830.07</v>
      </c>
      <c r="D10" s="19">
        <v>477529.39</v>
      </c>
      <c r="F10" s="19">
        <v>173605.13</v>
      </c>
      <c r="G10" s="19">
        <v>371726.1</v>
      </c>
      <c r="H10" s="19">
        <v>48642.06</v>
      </c>
      <c r="J10" s="19">
        <v>462121.53</v>
      </c>
      <c r="L10" s="19">
        <v>273986.46</v>
      </c>
      <c r="M10" s="19">
        <v>50596.51</v>
      </c>
      <c r="N10" s="19">
        <f t="shared" si="1"/>
        <v>2763215.25</v>
      </c>
      <c r="O10" s="19">
        <v>2180832</v>
      </c>
    </row>
    <row r="11" spans="1:15" ht="11.25" outlineLevel="1">
      <c r="A11" s="15" t="s">
        <v>21</v>
      </c>
      <c r="C11" s="19">
        <v>7078480.09</v>
      </c>
      <c r="N11" s="19">
        <f t="shared" si="1"/>
        <v>7078480.09</v>
      </c>
      <c r="O11" s="15">
        <v>5538772</v>
      </c>
    </row>
    <row r="12" spans="1:15" ht="11.25" outlineLevel="1">
      <c r="A12" s="15" t="s">
        <v>35</v>
      </c>
      <c r="C12" s="20">
        <v>16175.3</v>
      </c>
      <c r="D12" s="15">
        <v>49596.48</v>
      </c>
      <c r="G12" s="15">
        <v>89849.96</v>
      </c>
      <c r="H12" s="20"/>
      <c r="J12" s="20">
        <v>10854.6</v>
      </c>
      <c r="N12" s="19">
        <f t="shared" si="1"/>
        <v>166476.34</v>
      </c>
      <c r="O12" s="15">
        <v>152546</v>
      </c>
    </row>
    <row r="13" spans="1:15" ht="11.25" outlineLevel="1">
      <c r="A13" s="15" t="s">
        <v>36</v>
      </c>
      <c r="B13" s="15">
        <f>193403.21-5.44</f>
        <v>193397.77</v>
      </c>
      <c r="C13" s="15">
        <v>2395365.07</v>
      </c>
      <c r="D13" s="15">
        <v>648169.52</v>
      </c>
      <c r="E13" s="15">
        <v>37638.36</v>
      </c>
      <c r="F13" s="15">
        <v>161759.32</v>
      </c>
      <c r="G13" s="15">
        <v>825757.17</v>
      </c>
      <c r="H13" s="15">
        <v>652146.77</v>
      </c>
      <c r="J13" s="15">
        <v>191109.74</v>
      </c>
      <c r="L13" s="15">
        <v>71864.61</v>
      </c>
      <c r="N13" s="19">
        <f t="shared" si="1"/>
        <v>5177208.330000001</v>
      </c>
      <c r="O13" s="15">
        <v>5010333</v>
      </c>
    </row>
    <row r="14" spans="1:15" ht="11.25" outlineLevel="1">
      <c r="A14" s="15" t="s">
        <v>37</v>
      </c>
      <c r="B14" s="15">
        <v>37585.41</v>
      </c>
      <c r="C14" s="15">
        <v>381433.32</v>
      </c>
      <c r="D14" s="15">
        <v>221096.11</v>
      </c>
      <c r="F14" s="15">
        <v>80379.18</v>
      </c>
      <c r="G14" s="15">
        <v>172109.18</v>
      </c>
      <c r="H14" s="15">
        <v>22521.27</v>
      </c>
      <c r="J14" s="15">
        <v>213962.27</v>
      </c>
      <c r="L14" s="15">
        <v>75894.25</v>
      </c>
      <c r="M14" s="15">
        <v>33241.91</v>
      </c>
      <c r="N14" s="19">
        <f t="shared" si="1"/>
        <v>1238222.9</v>
      </c>
      <c r="O14" s="15">
        <v>945713</v>
      </c>
    </row>
    <row r="16" spans="1:15" ht="11.25">
      <c r="A16" s="14" t="s">
        <v>25</v>
      </c>
      <c r="B16" s="15">
        <f aca="true" t="shared" si="2" ref="B16:O16">SUM(B17:B19)</f>
        <v>38925.42</v>
      </c>
      <c r="C16" s="15">
        <f t="shared" si="2"/>
        <v>1978589.14</v>
      </c>
      <c r="D16" s="15">
        <f t="shared" si="2"/>
        <v>1954276.62</v>
      </c>
      <c r="E16" s="15">
        <f t="shared" si="2"/>
        <v>122134.36</v>
      </c>
      <c r="F16" s="15">
        <f t="shared" si="2"/>
        <v>18928.22</v>
      </c>
      <c r="G16" s="15">
        <f t="shared" si="2"/>
        <v>1242570.22</v>
      </c>
      <c r="H16" s="15">
        <f t="shared" si="2"/>
        <v>721658.79</v>
      </c>
      <c r="I16" s="15">
        <f t="shared" si="2"/>
        <v>0</v>
      </c>
      <c r="J16" s="15">
        <f t="shared" si="2"/>
        <v>967233.79</v>
      </c>
      <c r="K16" s="15">
        <f t="shared" si="2"/>
        <v>0</v>
      </c>
      <c r="L16" s="15">
        <f t="shared" si="2"/>
        <v>246907.15999999997</v>
      </c>
      <c r="M16" s="15">
        <f t="shared" si="2"/>
        <v>0</v>
      </c>
      <c r="N16" s="15">
        <f t="shared" si="2"/>
        <v>7291223.720000001</v>
      </c>
      <c r="O16" s="15">
        <f t="shared" si="2"/>
        <v>7150628</v>
      </c>
    </row>
    <row r="17" spans="1:16" ht="11.25" outlineLevel="1">
      <c r="A17" s="15" t="s">
        <v>22</v>
      </c>
      <c r="B17" s="15">
        <v>38925.42</v>
      </c>
      <c r="C17" s="15">
        <v>1805512.68</v>
      </c>
      <c r="D17" s="15">
        <v>1561790.01</v>
      </c>
      <c r="E17" s="15">
        <v>86822.45</v>
      </c>
      <c r="F17" s="15">
        <v>18167.24</v>
      </c>
      <c r="G17" s="15">
        <f>1007532.33+59176.09</f>
        <v>1066708.42</v>
      </c>
      <c r="H17" s="15">
        <v>694263.66</v>
      </c>
      <c r="J17" s="15">
        <v>696216.1</v>
      </c>
      <c r="L17" s="15">
        <v>213890.05</v>
      </c>
      <c r="N17" s="19">
        <f>SUM(B17:M17)</f>
        <v>6182296.03</v>
      </c>
      <c r="O17" s="15">
        <v>5987112</v>
      </c>
      <c r="P17" s="15" t="s">
        <v>34</v>
      </c>
    </row>
    <row r="18" spans="1:15" ht="11.25" outlineLevel="1">
      <c r="A18" s="15" t="s">
        <v>47</v>
      </c>
      <c r="C18" s="15">
        <v>-0.01</v>
      </c>
      <c r="N18" s="19">
        <f>SUM(B18:M18)</f>
        <v>-0.01</v>
      </c>
      <c r="O18" s="15">
        <v>0</v>
      </c>
    </row>
    <row r="19" spans="1:15" ht="11.25" outlineLevel="1">
      <c r="A19" s="15" t="s">
        <v>38</v>
      </c>
      <c r="C19" s="15">
        <v>173076.47</v>
      </c>
      <c r="D19" s="15">
        <v>392486.61</v>
      </c>
      <c r="E19" s="15">
        <v>35311.91</v>
      </c>
      <c r="F19" s="15">
        <v>760.98</v>
      </c>
      <c r="G19" s="15">
        <v>175861.8</v>
      </c>
      <c r="H19" s="15">
        <v>27395.13</v>
      </c>
      <c r="J19" s="15">
        <v>271017.69</v>
      </c>
      <c r="L19" s="15">
        <v>33017.11</v>
      </c>
      <c r="N19" s="19">
        <f>SUM(B19:M19)</f>
        <v>1108927.7000000002</v>
      </c>
      <c r="O19" s="15">
        <v>1163516</v>
      </c>
    </row>
    <row r="20" ht="11.25">
      <c r="N20" s="19"/>
    </row>
    <row r="21" spans="1:15" ht="11.25">
      <c r="A21" s="14" t="s">
        <v>23</v>
      </c>
      <c r="B21" s="15">
        <f aca="true" t="shared" si="3" ref="B21:O21">SUM(B22:B24)</f>
        <v>3274215.81</v>
      </c>
      <c r="C21" s="15">
        <f t="shared" si="3"/>
        <v>9886136.49</v>
      </c>
      <c r="D21" s="15">
        <f t="shared" si="3"/>
        <v>7138096.989999999</v>
      </c>
      <c r="E21" s="15">
        <f t="shared" si="3"/>
        <v>26153.89</v>
      </c>
      <c r="F21" s="15">
        <f t="shared" si="3"/>
        <v>41098.1</v>
      </c>
      <c r="G21" s="15">
        <f t="shared" si="3"/>
        <v>7548968.23</v>
      </c>
      <c r="H21" s="15">
        <f t="shared" si="3"/>
        <v>1185123.89</v>
      </c>
      <c r="I21" s="15">
        <f t="shared" si="3"/>
        <v>0</v>
      </c>
      <c r="J21" s="15">
        <f t="shared" si="3"/>
        <v>4641429.59</v>
      </c>
      <c r="K21" s="15">
        <f t="shared" si="3"/>
        <v>0</v>
      </c>
      <c r="L21" s="15">
        <f t="shared" si="3"/>
        <v>321213.95999999996</v>
      </c>
      <c r="M21" s="15">
        <f t="shared" si="3"/>
        <v>0</v>
      </c>
      <c r="N21" s="15">
        <f t="shared" si="3"/>
        <v>34062436.95</v>
      </c>
      <c r="O21" s="15">
        <f t="shared" si="3"/>
        <v>37044723</v>
      </c>
    </row>
    <row r="22" spans="1:15" ht="11.25" outlineLevel="1">
      <c r="A22" s="15" t="s">
        <v>22</v>
      </c>
      <c r="B22" s="15">
        <v>3046980.46</v>
      </c>
      <c r="C22" s="2">
        <v>8213085.18</v>
      </c>
      <c r="D22" s="15">
        <v>5553964.52</v>
      </c>
      <c r="E22" s="15">
        <v>26153.89</v>
      </c>
      <c r="F22" s="15">
        <v>29916.86</v>
      </c>
      <c r="G22" s="15">
        <v>5686150.25</v>
      </c>
      <c r="H22" s="15">
        <v>976225.35</v>
      </c>
      <c r="J22" s="15">
        <v>3528082.98</v>
      </c>
      <c r="L22" s="15">
        <v>271956.11</v>
      </c>
      <c r="N22" s="19">
        <f>SUM(B22:M22)</f>
        <v>27332515.6</v>
      </c>
      <c r="O22" s="15">
        <v>29628355</v>
      </c>
    </row>
    <row r="23" spans="1:15" ht="11.25" outlineLevel="1">
      <c r="A23" s="15" t="s">
        <v>46</v>
      </c>
      <c r="B23" s="15">
        <f>-58106.97-143.13</f>
        <v>-58250.1</v>
      </c>
      <c r="N23" s="19">
        <f>SUM(B23:M23)</f>
        <v>-58250.1</v>
      </c>
      <c r="O23" s="15">
        <v>303082</v>
      </c>
    </row>
    <row r="24" spans="1:15" ht="11.25" outlineLevel="1">
      <c r="A24" s="15" t="s">
        <v>38</v>
      </c>
      <c r="B24" s="15">
        <f>285545.56-60.11</f>
        <v>285485.45</v>
      </c>
      <c r="C24" s="15">
        <v>1673051.31</v>
      </c>
      <c r="D24" s="15">
        <v>1584132.47</v>
      </c>
      <c r="F24" s="15">
        <v>11181.24</v>
      </c>
      <c r="G24" s="15">
        <v>1862817.98</v>
      </c>
      <c r="H24" s="15">
        <v>208898.54</v>
      </c>
      <c r="J24" s="15">
        <v>1113346.61</v>
      </c>
      <c r="L24" s="15">
        <v>49257.85</v>
      </c>
      <c r="N24" s="19">
        <f>SUM(B24:M24)</f>
        <v>6788171.45</v>
      </c>
      <c r="O24" s="15">
        <v>7113286</v>
      </c>
    </row>
    <row r="25" ht="11.25">
      <c r="O25" s="15" t="s">
        <v>34</v>
      </c>
    </row>
    <row r="26" spans="1:15" ht="11.25">
      <c r="A26" s="14" t="s">
        <v>24</v>
      </c>
      <c r="B26" s="15">
        <f aca="true" t="shared" si="4" ref="B26:O26">SUM(B27:B29)</f>
        <v>311716.86</v>
      </c>
      <c r="C26" s="15">
        <f t="shared" si="4"/>
        <v>1659758.4200000002</v>
      </c>
      <c r="D26" s="15">
        <f t="shared" si="4"/>
        <v>642094.52</v>
      </c>
      <c r="E26" s="15">
        <f t="shared" si="4"/>
        <v>55264.43</v>
      </c>
      <c r="F26" s="15">
        <f t="shared" si="4"/>
        <v>488417.11</v>
      </c>
      <c r="G26" s="15">
        <f t="shared" si="4"/>
        <v>938563.59</v>
      </c>
      <c r="H26" s="15">
        <f t="shared" si="4"/>
        <v>859311.53</v>
      </c>
      <c r="I26" s="15">
        <f t="shared" si="4"/>
        <v>223.20000000000002</v>
      </c>
      <c r="J26" s="15">
        <f t="shared" si="4"/>
        <v>408094</v>
      </c>
      <c r="K26" s="15">
        <f t="shared" si="4"/>
        <v>-908.39</v>
      </c>
      <c r="L26" s="15">
        <f t="shared" si="4"/>
        <v>147718.37</v>
      </c>
      <c r="M26" s="15">
        <f t="shared" si="4"/>
        <v>0</v>
      </c>
      <c r="N26" s="15">
        <f t="shared" si="4"/>
        <v>5510253.640000001</v>
      </c>
      <c r="O26" s="15">
        <f t="shared" si="4"/>
        <v>4394831</v>
      </c>
    </row>
    <row r="27" spans="1:15" ht="11.25" outlineLevel="1">
      <c r="A27" s="15" t="s">
        <v>22</v>
      </c>
      <c r="B27" s="15">
        <f>306711.88+3550.44</f>
        <v>310262.32</v>
      </c>
      <c r="C27" s="15">
        <f>1654354.26+934.62</f>
        <v>1655288.8800000001</v>
      </c>
      <c r="D27" s="15">
        <f>617363.09-25.88</f>
        <v>617337.21</v>
      </c>
      <c r="E27" s="15">
        <v>55264.43</v>
      </c>
      <c r="F27" s="15">
        <v>455988.43</v>
      </c>
      <c r="G27" s="15">
        <v>938563.59</v>
      </c>
      <c r="H27" s="15">
        <v>773475.17</v>
      </c>
      <c r="I27" s="15">
        <f>178.55+44.65</f>
        <v>223.20000000000002</v>
      </c>
      <c r="J27" s="15">
        <f>381578.31+67.32</f>
        <v>381645.63</v>
      </c>
      <c r="K27" s="15">
        <f>-1008.13+99.74</f>
        <v>-908.39</v>
      </c>
      <c r="L27" s="15">
        <f>147599.76+118.61</f>
        <v>147718.37</v>
      </c>
      <c r="N27" s="19">
        <f>SUM(B27:M27)</f>
        <v>5334858.840000001</v>
      </c>
      <c r="O27" s="15">
        <v>4275499</v>
      </c>
    </row>
    <row r="28" spans="1:15" ht="11.25" outlineLevel="1">
      <c r="A28" s="15" t="s">
        <v>46</v>
      </c>
      <c r="B28" s="15">
        <v>1454.54</v>
      </c>
      <c r="N28" s="19">
        <f>SUM(B28:M28)</f>
        <v>1454.54</v>
      </c>
      <c r="O28" s="15">
        <v>-2989</v>
      </c>
    </row>
    <row r="29" spans="1:15" ht="11.25" outlineLevel="1">
      <c r="A29" s="15" t="s">
        <v>38</v>
      </c>
      <c r="C29" s="15">
        <v>4469.54</v>
      </c>
      <c r="D29" s="15">
        <v>24757.31</v>
      </c>
      <c r="F29" s="15">
        <v>32428.68</v>
      </c>
      <c r="H29" s="15">
        <v>85836.36</v>
      </c>
      <c r="J29" s="15">
        <v>26448.37</v>
      </c>
      <c r="L29" s="19"/>
      <c r="N29" s="19">
        <f>SUM(B29:M29)</f>
        <v>173940.26</v>
      </c>
      <c r="O29" s="15">
        <v>122321</v>
      </c>
    </row>
    <row r="31" spans="1:15" ht="11.25">
      <c r="A31" s="14" t="s">
        <v>27</v>
      </c>
      <c r="B31" s="15">
        <v>-3994.27</v>
      </c>
      <c r="C31" s="15">
        <v>4785407.94</v>
      </c>
      <c r="N31" s="19">
        <f>SUM(B31:M31)</f>
        <v>4781413.670000001</v>
      </c>
      <c r="O31" s="15">
        <v>1023875</v>
      </c>
    </row>
    <row r="32" spans="1:14" ht="11.25">
      <c r="A32" s="14"/>
      <c r="N32" s="19"/>
    </row>
    <row r="33" spans="1:15" s="42" customFormat="1" ht="11.25">
      <c r="A33" s="39" t="s">
        <v>72</v>
      </c>
      <c r="B33" s="42">
        <f aca="true" t="shared" si="5" ref="B33:L33">((B19+B24+B29)/(B17+B18+B22+B23+B27+B28))</f>
        <v>0.08549074355475346</v>
      </c>
      <c r="C33" s="42">
        <f t="shared" si="5"/>
        <v>0.15852452253492097</v>
      </c>
      <c r="D33" s="42">
        <f t="shared" si="5"/>
        <v>0.2588067563776245</v>
      </c>
      <c r="E33" s="42">
        <f t="shared" si="5"/>
        <v>0.2098891368602272</v>
      </c>
      <c r="F33" s="42">
        <f t="shared" si="5"/>
        <v>0.08802483245813851</v>
      </c>
      <c r="G33" s="42">
        <f t="shared" si="5"/>
        <v>0.26505888132060507</v>
      </c>
      <c r="H33" s="42">
        <f t="shared" si="5"/>
        <v>0.13180636305397897</v>
      </c>
      <c r="I33" s="42">
        <f t="shared" si="5"/>
        <v>0</v>
      </c>
      <c r="J33" s="42">
        <f t="shared" si="5"/>
        <v>0.30630256306311593</v>
      </c>
      <c r="K33" s="42">
        <f t="shared" si="5"/>
        <v>0</v>
      </c>
      <c r="L33" s="42">
        <f t="shared" si="5"/>
        <v>0.1298604263720382</v>
      </c>
      <c r="N33" s="42">
        <f>((N19+N24+N29)/(N17+N18+N22+N23+N27+N28))</f>
        <v>0.20805468609391464</v>
      </c>
      <c r="O33" s="42">
        <f>((O19+O24+O29)/(O17+O18+O22+O23+O27+O28))</f>
        <v>0.20897988779046603</v>
      </c>
    </row>
    <row r="34" spans="2:15" ht="11.25">
      <c r="B34" s="21"/>
      <c r="C34" s="21"/>
      <c r="D34" s="21"/>
      <c r="E34" s="21"/>
      <c r="F34" s="21"/>
      <c r="G34" s="21"/>
      <c r="H34" s="21"/>
      <c r="I34" s="21"/>
      <c r="J34" s="21"/>
      <c r="K34" s="21"/>
      <c r="L34" s="21"/>
      <c r="M34" s="21"/>
      <c r="N34" s="21"/>
      <c r="O34" s="21"/>
    </row>
    <row r="35" spans="1:15" ht="12" thickBot="1">
      <c r="A35" s="8" t="s">
        <v>7</v>
      </c>
      <c r="B35" s="22">
        <f aca="true" t="shared" si="6" ref="B35:O35">+B31+B26+B21+B16+B8</f>
        <v>9762385.03</v>
      </c>
      <c r="C35" s="22">
        <f t="shared" si="6"/>
        <v>54849300.72</v>
      </c>
      <c r="D35" s="22">
        <f t="shared" si="6"/>
        <v>27590407.959999997</v>
      </c>
      <c r="E35" s="22">
        <f t="shared" si="6"/>
        <v>4185373.54</v>
      </c>
      <c r="F35" s="22">
        <f t="shared" si="6"/>
        <v>1199334.0799999998</v>
      </c>
      <c r="G35" s="22">
        <f t="shared" si="6"/>
        <v>18485390.34</v>
      </c>
      <c r="H35" s="22">
        <f t="shared" si="6"/>
        <v>5013313.21</v>
      </c>
      <c r="I35" s="22">
        <f t="shared" si="6"/>
        <v>-30185.68</v>
      </c>
      <c r="J35" s="22">
        <f t="shared" si="6"/>
        <v>11593978.11</v>
      </c>
      <c r="K35" s="22">
        <f t="shared" si="6"/>
        <v>-38331.39</v>
      </c>
      <c r="L35" s="22">
        <f t="shared" si="6"/>
        <v>3401705.49</v>
      </c>
      <c r="M35" s="22">
        <f t="shared" si="6"/>
        <v>786724</v>
      </c>
      <c r="N35" s="22">
        <f t="shared" si="6"/>
        <v>136799395.98000002</v>
      </c>
      <c r="O35" s="22">
        <f t="shared" si="6"/>
        <v>134140875</v>
      </c>
    </row>
    <row r="36" ht="12" thickTop="1">
      <c r="F36" s="24" t="s">
        <v>34</v>
      </c>
    </row>
    <row r="37" spans="1:4" ht="11.25">
      <c r="A37" s="8"/>
      <c r="D37" s="25"/>
    </row>
    <row r="40" spans="2:10" ht="11.25">
      <c r="B40" s="23"/>
      <c r="C40" s="23"/>
      <c r="D40" s="23"/>
      <c r="E40" s="23"/>
      <c r="F40" s="23"/>
      <c r="G40" s="23"/>
      <c r="H40" s="23"/>
      <c r="I40" s="23"/>
      <c r="J40" s="23"/>
    </row>
    <row r="41" spans="2:10" ht="11.25">
      <c r="B41" s="27"/>
      <c r="C41" s="27"/>
      <c r="D41" s="12"/>
      <c r="E41" s="23"/>
      <c r="F41" s="23"/>
      <c r="G41" s="23"/>
      <c r="H41" s="23"/>
      <c r="I41" s="23" t="s">
        <v>34</v>
      </c>
      <c r="J41" s="23"/>
    </row>
    <row r="42" spans="2:10" ht="11.25">
      <c r="B42" s="23"/>
      <c r="C42" s="23"/>
      <c r="D42" s="23"/>
      <c r="E42" s="23"/>
      <c r="F42" s="23"/>
      <c r="G42" s="23"/>
      <c r="H42" s="23"/>
      <c r="I42" s="23"/>
      <c r="J42" s="23"/>
    </row>
    <row r="43" spans="2:10" ht="11.25">
      <c r="B43" s="23"/>
      <c r="C43" s="23"/>
      <c r="D43" s="23"/>
      <c r="E43" s="23"/>
      <c r="F43" s="23"/>
      <c r="G43" s="23"/>
      <c r="H43" s="23"/>
      <c r="I43" s="23"/>
      <c r="J43" s="23"/>
    </row>
    <row r="44" spans="2:10" ht="11.25">
      <c r="B44" s="23"/>
      <c r="C44" s="23"/>
      <c r="D44" s="23"/>
      <c r="E44" s="23"/>
      <c r="F44" s="23"/>
      <c r="G44" s="23"/>
      <c r="H44" s="23"/>
      <c r="I44" s="23"/>
      <c r="J44" s="23"/>
    </row>
    <row r="45" spans="12:16" ht="11.25">
      <c r="L45" s="23"/>
      <c r="M45" s="23"/>
      <c r="N45" s="23"/>
      <c r="O45" s="23"/>
      <c r="P45" s="23"/>
    </row>
    <row r="46" spans="12:16" ht="11.25">
      <c r="L46" s="23"/>
      <c r="M46" s="23"/>
      <c r="N46" s="23"/>
      <c r="O46" s="23"/>
      <c r="P46" s="23"/>
    </row>
    <row r="47" spans="11:16" ht="11.25">
      <c r="K47" s="8" t="s">
        <v>62</v>
      </c>
      <c r="O47" s="28" t="s">
        <v>50</v>
      </c>
      <c r="P47" s="28" t="s">
        <v>51</v>
      </c>
    </row>
    <row r="48" spans="11:16" ht="11.25">
      <c r="K48" s="8"/>
      <c r="L48" s="2"/>
      <c r="M48" s="2"/>
      <c r="N48" s="2"/>
      <c r="O48" s="28" t="s">
        <v>52</v>
      </c>
      <c r="P48" s="28" t="s">
        <v>53</v>
      </c>
    </row>
    <row r="49" spans="11:14" ht="11.25">
      <c r="K49" s="2"/>
      <c r="L49" s="2"/>
      <c r="M49" s="2"/>
      <c r="N49" s="2"/>
    </row>
    <row r="50" spans="11:16" ht="11.25">
      <c r="K50" s="2" t="s">
        <v>63</v>
      </c>
      <c r="L50" s="12"/>
      <c r="M50" s="12"/>
      <c r="N50" s="12"/>
      <c r="O50" s="19">
        <f>N9+N10+N11+N31-O59</f>
        <v>83353573.89</v>
      </c>
      <c r="P50" s="19">
        <v>140039437.94</v>
      </c>
    </row>
    <row r="51" spans="11:16" ht="11.25">
      <c r="K51" s="2" t="s">
        <v>64</v>
      </c>
      <c r="L51" s="12"/>
      <c r="M51" s="12"/>
      <c r="N51" s="12"/>
      <c r="O51" s="36">
        <f>N17+N18+N22+N23+N27+N28</f>
        <v>38792874.9</v>
      </c>
      <c r="P51" s="21">
        <v>38792875</v>
      </c>
    </row>
    <row r="52" spans="11:14" ht="11.25">
      <c r="K52" s="2"/>
      <c r="L52" s="12"/>
      <c r="M52" s="12"/>
      <c r="N52" s="12"/>
    </row>
    <row r="53" spans="11:16" ht="12" thickBot="1">
      <c r="K53" s="2" t="s">
        <v>65</v>
      </c>
      <c r="L53" s="12"/>
      <c r="M53" s="12"/>
      <c r="N53" s="12"/>
      <c r="O53" s="22">
        <f>+O50+O51</f>
        <v>122146448.78999999</v>
      </c>
      <c r="P53" s="22">
        <f>+P50+P51</f>
        <v>178832312.94</v>
      </c>
    </row>
    <row r="54" spans="11:14" ht="12" thickTop="1">
      <c r="K54" s="2"/>
      <c r="L54" s="12"/>
      <c r="M54" s="12"/>
      <c r="N54" s="12"/>
    </row>
    <row r="55" spans="11:16" ht="11.25">
      <c r="K55" s="15" t="s">
        <v>35</v>
      </c>
      <c r="L55" s="2"/>
      <c r="M55" s="2"/>
      <c r="N55" s="2"/>
      <c r="O55" s="19">
        <f>N12</f>
        <v>166476.34</v>
      </c>
      <c r="P55" s="15">
        <f>N12</f>
        <v>166476.34</v>
      </c>
    </row>
    <row r="56" spans="11:16" ht="11.25">
      <c r="K56" s="15" t="s">
        <v>36</v>
      </c>
      <c r="L56" s="2"/>
      <c r="M56" s="2"/>
      <c r="N56" s="2"/>
      <c r="O56" s="30">
        <f>N13</f>
        <v>5177208.330000001</v>
      </c>
      <c r="P56" s="23">
        <f>N13</f>
        <v>5177208.330000001</v>
      </c>
    </row>
    <row r="57" spans="11:16" ht="11.25">
      <c r="K57" s="15" t="s">
        <v>38</v>
      </c>
      <c r="L57" s="2"/>
      <c r="M57" s="2"/>
      <c r="N57" s="2"/>
      <c r="O57" s="30">
        <f>N19+N24+N29</f>
        <v>8071039.41</v>
      </c>
      <c r="P57" s="23">
        <f>N19+N24+N29</f>
        <v>8071039.41</v>
      </c>
    </row>
    <row r="58" spans="11:16" ht="11.25">
      <c r="K58" s="15" t="s">
        <v>37</v>
      </c>
      <c r="L58" s="12"/>
      <c r="M58" s="12"/>
      <c r="N58" s="12"/>
      <c r="O58" s="30">
        <f>N14</f>
        <v>1238222.9</v>
      </c>
      <c r="P58" s="23">
        <f>N14</f>
        <v>1238222.9</v>
      </c>
    </row>
    <row r="59" spans="11:16" ht="11.25">
      <c r="K59" s="2" t="s">
        <v>66</v>
      </c>
      <c r="L59" s="12"/>
      <c r="M59" s="12"/>
      <c r="N59" s="12"/>
      <c r="O59" s="30">
        <v>0</v>
      </c>
      <c r="P59" s="30">
        <v>0</v>
      </c>
    </row>
    <row r="60" spans="11:16" ht="11.25">
      <c r="K60" s="2" t="s">
        <v>74</v>
      </c>
      <c r="L60" s="12"/>
      <c r="M60" s="12"/>
      <c r="N60" s="12"/>
      <c r="O60" s="30"/>
      <c r="P60" s="30">
        <v>6150</v>
      </c>
    </row>
    <row r="61" spans="11:16" ht="11.25">
      <c r="K61" s="2" t="s">
        <v>75</v>
      </c>
      <c r="L61" s="12"/>
      <c r="M61" s="12"/>
      <c r="N61" s="12"/>
      <c r="O61" s="30"/>
      <c r="P61" s="30"/>
    </row>
    <row r="62" spans="11:16" ht="11.25">
      <c r="K62" s="2" t="s">
        <v>78</v>
      </c>
      <c r="L62" s="12"/>
      <c r="M62" s="12"/>
      <c r="N62" s="12"/>
      <c r="O62" s="30"/>
      <c r="P62" s="30">
        <v>-52240589</v>
      </c>
    </row>
    <row r="63" spans="11:16" ht="11.25">
      <c r="K63" s="2" t="s">
        <v>60</v>
      </c>
      <c r="L63" s="12"/>
      <c r="M63" s="12"/>
      <c r="N63" s="12"/>
      <c r="O63" s="21"/>
      <c r="P63" s="21">
        <v>-4451424.77</v>
      </c>
    </row>
    <row r="64" spans="11:14" ht="11.25">
      <c r="K64" s="2"/>
      <c r="L64" s="12"/>
      <c r="M64" s="12"/>
      <c r="N64" s="12"/>
    </row>
    <row r="65" spans="11:16" ht="12" thickBot="1">
      <c r="K65" s="2" t="s">
        <v>7</v>
      </c>
      <c r="L65" s="12"/>
      <c r="M65" s="12"/>
      <c r="N65" s="12"/>
      <c r="O65" s="22">
        <f>SUM(O53:O63)</f>
        <v>136799395.77</v>
      </c>
      <c r="P65" s="22">
        <f>SUM(P53:P63)</f>
        <v>136799396.15</v>
      </c>
    </row>
    <row r="66" spans="12:16" ht="12" thickTop="1">
      <c r="L66" s="23"/>
      <c r="M66" s="23"/>
      <c r="N66" s="23"/>
      <c r="O66" s="15">
        <f>N35-O65</f>
        <v>0.21000000834465027</v>
      </c>
      <c r="P66" s="15">
        <f>O65-P65</f>
        <v>-0.3799999952316284</v>
      </c>
    </row>
  </sheetData>
  <sheetProtection/>
  <printOptions horizontalCentered="1" verticalCentered="1"/>
  <pageMargins left="0" right="0" top="0.5" bottom="0.5" header="0.25" footer="0.25"/>
  <pageSetup fitToHeight="1" fitToWidth="1" horizontalDpi="300" verticalDpi="300" orientation="landscape" scale="77" r:id="rId1"/>
  <headerFooter alignWithMargins="0">
    <oddHeader>&amp;L11/04/15&amp;C&amp;F</oddHead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Q68"/>
  <sheetViews>
    <sheetView zoomScalePageLayoutView="0" workbookViewId="0" topLeftCell="A1">
      <pane xSplit="1" ySplit="6" topLeftCell="B37" activePane="bottomRight" state="frozen"/>
      <selection pane="topLeft" activeCell="O2" sqref="O2"/>
      <selection pane="topRight" activeCell="O2" sqref="O2"/>
      <selection pane="bottomLeft" activeCell="O2" sqref="O2"/>
      <selection pane="bottomRight" activeCell="O52" sqref="O52"/>
    </sheetView>
  </sheetViews>
  <sheetFormatPr defaultColWidth="9.140625" defaultRowHeight="12.75" outlineLevelRow="1"/>
  <cols>
    <col min="1" max="1" width="18.8515625" style="15" customWidth="1"/>
    <col min="2" max="2" width="11.28125" style="15" customWidth="1"/>
    <col min="3" max="3" width="9.421875" style="15" customWidth="1"/>
    <col min="4" max="4" width="10.00390625" style="15" customWidth="1"/>
    <col min="5" max="5" width="10.28125" style="15" customWidth="1"/>
    <col min="6" max="6" width="11.00390625" style="15" customWidth="1"/>
    <col min="7" max="7" width="10.57421875" style="15" customWidth="1"/>
    <col min="8" max="9" width="9.140625" style="15" customWidth="1"/>
    <col min="10" max="11" width="10.140625" style="15" customWidth="1"/>
    <col min="12" max="14" width="10.00390625" style="15" customWidth="1"/>
    <col min="15" max="15" width="8.8515625" style="15" bestFit="1" customWidth="1"/>
    <col min="16" max="16384" width="9.140625" style="15" customWidth="1"/>
  </cols>
  <sheetData>
    <row r="1" spans="1:15" ht="11.25">
      <c r="A1" s="8" t="s">
        <v>76</v>
      </c>
      <c r="H1" s="13"/>
      <c r="O1" s="33" t="s">
        <v>44</v>
      </c>
    </row>
    <row r="2" ht="11.25">
      <c r="A2" s="14" t="s">
        <v>32</v>
      </c>
    </row>
    <row r="3" ht="11.25">
      <c r="O3" s="29" t="s">
        <v>34</v>
      </c>
    </row>
    <row r="4" spans="1:15" ht="11.25">
      <c r="A4" s="14" t="s">
        <v>41</v>
      </c>
      <c r="B4" s="16"/>
      <c r="C4" s="16"/>
      <c r="D4" s="16"/>
      <c r="E4" s="16"/>
      <c r="F4" s="16"/>
      <c r="G4" s="16"/>
      <c r="H4" s="16" t="s">
        <v>1</v>
      </c>
      <c r="I4" s="16"/>
      <c r="J4" s="16"/>
      <c r="K4" s="16"/>
      <c r="L4" s="16" t="s">
        <v>29</v>
      </c>
      <c r="M4" s="16"/>
      <c r="N4" s="38" t="s">
        <v>77</v>
      </c>
      <c r="O4" s="38" t="s">
        <v>73</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17" t="s">
        <v>8</v>
      </c>
    </row>
    <row r="7" spans="1:14" s="19" customFormat="1" ht="11.25">
      <c r="A7" s="5" t="s">
        <v>17</v>
      </c>
      <c r="B7" s="18"/>
      <c r="C7" s="18"/>
      <c r="D7" s="18"/>
      <c r="E7" s="18"/>
      <c r="F7" s="18"/>
      <c r="G7" s="18"/>
      <c r="H7" s="18"/>
      <c r="I7" s="18"/>
      <c r="J7" s="18"/>
      <c r="K7" s="18"/>
      <c r="L7" s="18"/>
      <c r="M7" s="18"/>
      <c r="N7" s="18"/>
    </row>
    <row r="8" spans="1:15" ht="11.25" customHeight="1">
      <c r="A8" s="8" t="s">
        <v>18</v>
      </c>
      <c r="B8" s="15">
        <f>SUM(B9:B14)</f>
        <v>307812.45999999996</v>
      </c>
      <c r="C8" s="15">
        <f aca="true" t="shared" si="0" ref="C8:O8">SUM(C9:C14)</f>
        <v>46825.45</v>
      </c>
      <c r="D8" s="15">
        <f t="shared" si="0"/>
        <v>232539.29</v>
      </c>
      <c r="E8" s="15">
        <f t="shared" si="0"/>
        <v>0</v>
      </c>
      <c r="F8" s="15">
        <f t="shared" si="0"/>
        <v>626087.6599999999</v>
      </c>
      <c r="G8" s="15">
        <f t="shared" si="0"/>
        <v>98143.56</v>
      </c>
      <c r="H8" s="15">
        <f t="shared" si="0"/>
        <v>192011.3</v>
      </c>
      <c r="I8" s="15">
        <f t="shared" si="0"/>
        <v>858146.4</v>
      </c>
      <c r="J8" s="15">
        <f t="shared" si="0"/>
        <v>542168.91</v>
      </c>
      <c r="K8" s="15">
        <f t="shared" si="0"/>
        <v>1580160.03</v>
      </c>
      <c r="L8" s="15">
        <f t="shared" si="0"/>
        <v>682896.5800000001</v>
      </c>
      <c r="M8" s="15">
        <f t="shared" si="0"/>
        <v>0</v>
      </c>
      <c r="N8" s="15">
        <f t="shared" si="0"/>
        <v>5166791.640000001</v>
      </c>
      <c r="O8" s="15">
        <f t="shared" si="0"/>
        <v>4366884</v>
      </c>
    </row>
    <row r="9" spans="1:15" s="19" customFormat="1" ht="11.25" customHeight="1">
      <c r="A9" s="19" t="s">
        <v>19</v>
      </c>
      <c r="F9" s="19">
        <v>301259.79</v>
      </c>
      <c r="N9" s="19">
        <f aca="true" t="shared" si="1" ref="N9:N14">SUM(B9:M9)</f>
        <v>301259.79</v>
      </c>
      <c r="O9" s="19">
        <v>369993</v>
      </c>
    </row>
    <row r="10" spans="1:15" s="19" customFormat="1" ht="11.25" customHeight="1" outlineLevel="1">
      <c r="A10" s="19" t="s">
        <v>20</v>
      </c>
      <c r="B10" s="19">
        <v>39863.86</v>
      </c>
      <c r="G10" s="19">
        <v>41072.97</v>
      </c>
      <c r="J10" s="19">
        <v>20501.93</v>
      </c>
      <c r="K10" s="19">
        <v>502555.04</v>
      </c>
      <c r="N10" s="19">
        <f t="shared" si="1"/>
        <v>603993.8</v>
      </c>
      <c r="O10" s="19">
        <v>518953</v>
      </c>
    </row>
    <row r="11" spans="1:15" ht="11.25" outlineLevel="1">
      <c r="A11" s="15" t="s">
        <v>21</v>
      </c>
      <c r="N11" s="19">
        <f t="shared" si="1"/>
        <v>0</v>
      </c>
      <c r="O11" s="15">
        <v>0</v>
      </c>
    </row>
    <row r="12" spans="1:15" ht="11.25" outlineLevel="1">
      <c r="A12" s="15" t="s">
        <v>35</v>
      </c>
      <c r="B12" s="15">
        <v>12539.86</v>
      </c>
      <c r="C12" s="20"/>
      <c r="D12" s="20"/>
      <c r="L12" s="15">
        <v>-13.6</v>
      </c>
      <c r="N12" s="19">
        <f t="shared" si="1"/>
        <v>12526.26</v>
      </c>
      <c r="O12" s="15">
        <v>35452</v>
      </c>
    </row>
    <row r="13" spans="1:15" ht="11.25" outlineLevel="1">
      <c r="A13" s="15" t="s">
        <v>36</v>
      </c>
      <c r="B13" s="15">
        <v>233483.62</v>
      </c>
      <c r="C13" s="15">
        <v>46825.45</v>
      </c>
      <c r="D13" s="15">
        <v>232539.29</v>
      </c>
      <c r="F13" s="15">
        <f>168970.5+155857.37</f>
        <v>324827.87</v>
      </c>
      <c r="G13" s="15">
        <v>34480.46</v>
      </c>
      <c r="H13" s="15">
        <v>192011.3</v>
      </c>
      <c r="I13" s="15">
        <v>858146.4</v>
      </c>
      <c r="J13" s="15">
        <v>510390.92</v>
      </c>
      <c r="K13" s="15">
        <v>806225.27</v>
      </c>
      <c r="L13" s="15">
        <v>682910.18</v>
      </c>
      <c r="N13" s="19">
        <f t="shared" si="1"/>
        <v>3921840.7600000002</v>
      </c>
      <c r="O13" s="15">
        <v>3162055</v>
      </c>
    </row>
    <row r="14" spans="1:15" ht="11.25" outlineLevel="1">
      <c r="A14" s="15" t="s">
        <v>37</v>
      </c>
      <c r="B14" s="15">
        <v>21925.12</v>
      </c>
      <c r="G14" s="15">
        <v>22590.13</v>
      </c>
      <c r="J14" s="15">
        <v>11276.06</v>
      </c>
      <c r="K14" s="15">
        <v>271379.72</v>
      </c>
      <c r="N14" s="19">
        <f t="shared" si="1"/>
        <v>327171.02999999997</v>
      </c>
      <c r="O14" s="15">
        <v>280431</v>
      </c>
    </row>
    <row r="16" spans="1:17" ht="11.25">
      <c r="A16" s="14" t="s">
        <v>25</v>
      </c>
      <c r="B16" s="15">
        <f aca="true" t="shared" si="2" ref="B16:O16">SUM(B17:B19)</f>
        <v>1992005.79</v>
      </c>
      <c r="C16" s="15">
        <f t="shared" si="2"/>
        <v>18353.84</v>
      </c>
      <c r="D16" s="15">
        <f t="shared" si="2"/>
        <v>410262.05</v>
      </c>
      <c r="E16" s="15">
        <f t="shared" si="2"/>
        <v>0</v>
      </c>
      <c r="F16" s="15">
        <f t="shared" si="2"/>
        <v>243799.59</v>
      </c>
      <c r="G16" s="15">
        <f t="shared" si="2"/>
        <v>20639.23</v>
      </c>
      <c r="H16" s="15">
        <f t="shared" si="2"/>
        <v>213654.37</v>
      </c>
      <c r="I16" s="15">
        <f t="shared" si="2"/>
        <v>359102.61</v>
      </c>
      <c r="J16" s="15">
        <f t="shared" si="2"/>
        <v>2515233.5300000003</v>
      </c>
      <c r="K16" s="15">
        <f t="shared" si="2"/>
        <v>642981.44</v>
      </c>
      <c r="L16" s="15">
        <f t="shared" si="2"/>
        <v>316027.08</v>
      </c>
      <c r="M16" s="15">
        <f t="shared" si="2"/>
        <v>0</v>
      </c>
      <c r="N16" s="15">
        <f t="shared" si="2"/>
        <v>6732059.529999998</v>
      </c>
      <c r="O16" s="15">
        <f t="shared" si="2"/>
        <v>6252769</v>
      </c>
      <c r="Q16" s="15" t="e">
        <f>SUM(#REF!+#REF!+#REF!+#REF!)</f>
        <v>#REF!</v>
      </c>
    </row>
    <row r="17" spans="1:15" ht="11.25" outlineLevel="1">
      <c r="A17" s="15" t="s">
        <v>22</v>
      </c>
      <c r="B17" s="15">
        <v>1885255.79</v>
      </c>
      <c r="C17" s="15">
        <v>18320.56</v>
      </c>
      <c r="D17" s="19">
        <v>376081.99</v>
      </c>
      <c r="F17" s="15">
        <v>243799.59</v>
      </c>
      <c r="G17" s="15">
        <v>20639.23</v>
      </c>
      <c r="H17" s="15">
        <v>213654.37</v>
      </c>
      <c r="I17" s="15">
        <v>359102.61</v>
      </c>
      <c r="J17" s="15">
        <v>2158439.72</v>
      </c>
      <c r="K17" s="15">
        <f>231126.43+411855.01</f>
        <v>642981.44</v>
      </c>
      <c r="L17" s="15">
        <f>193561.48+108540.54</f>
        <v>302102.02</v>
      </c>
      <c r="N17" s="19">
        <f>SUM(B17:M17)</f>
        <v>6220377.319999998</v>
      </c>
      <c r="O17" s="15">
        <v>5936124</v>
      </c>
    </row>
    <row r="18" spans="1:15" ht="11.25" outlineLevel="1">
      <c r="A18" s="15" t="s">
        <v>46</v>
      </c>
      <c r="N18" s="19">
        <f>SUM(B18:M18)</f>
        <v>0</v>
      </c>
      <c r="O18" s="15">
        <v>0</v>
      </c>
    </row>
    <row r="19" spans="1:15" ht="11.25" outlineLevel="1">
      <c r="A19" s="15" t="s">
        <v>38</v>
      </c>
      <c r="B19" s="15">
        <v>106750</v>
      </c>
      <c r="C19" s="15">
        <v>33.28</v>
      </c>
      <c r="D19" s="15">
        <v>34180.06</v>
      </c>
      <c r="J19" s="15">
        <v>356793.81</v>
      </c>
      <c r="L19" s="15">
        <v>13925.06</v>
      </c>
      <c r="N19" s="19">
        <f>SUM(B19:M19)</f>
        <v>511682.21</v>
      </c>
      <c r="O19" s="15">
        <v>316645</v>
      </c>
    </row>
    <row r="21" spans="1:15" ht="11.25">
      <c r="A21" s="14" t="s">
        <v>23</v>
      </c>
      <c r="B21" s="15">
        <f aca="true" t="shared" si="3" ref="B21:O21">SUM(B22:B24)</f>
        <v>1856550.4100000001</v>
      </c>
      <c r="C21" s="15">
        <f t="shared" si="3"/>
        <v>517804.21</v>
      </c>
      <c r="D21" s="15">
        <f t="shared" si="3"/>
        <v>630847.5900000001</v>
      </c>
      <c r="E21" s="15">
        <f t="shared" si="3"/>
        <v>9398.32</v>
      </c>
      <c r="F21" s="15">
        <f t="shared" si="3"/>
        <v>4556809.75</v>
      </c>
      <c r="G21" s="15">
        <f t="shared" si="3"/>
        <v>99298.48</v>
      </c>
      <c r="H21" s="15">
        <f t="shared" si="3"/>
        <v>68640</v>
      </c>
      <c r="I21" s="15">
        <f t="shared" si="3"/>
        <v>2607190.54</v>
      </c>
      <c r="J21" s="15">
        <f t="shared" si="3"/>
        <v>47044.79</v>
      </c>
      <c r="K21" s="15">
        <f t="shared" si="3"/>
        <v>2512345.35</v>
      </c>
      <c r="L21" s="15">
        <f t="shared" si="3"/>
        <v>7548819.2</v>
      </c>
      <c r="M21" s="15">
        <f t="shared" si="3"/>
        <v>0</v>
      </c>
      <c r="N21" s="15">
        <f t="shared" si="3"/>
        <v>20454748.640000004</v>
      </c>
      <c r="O21" s="15">
        <f t="shared" si="3"/>
        <v>20172550</v>
      </c>
    </row>
    <row r="22" spans="1:15" ht="11.25" outlineLevel="1">
      <c r="A22" s="15" t="s">
        <v>22</v>
      </c>
      <c r="B22" s="15">
        <v>1732439.87</v>
      </c>
      <c r="C22" s="15">
        <v>463211.45</v>
      </c>
      <c r="D22" s="15">
        <v>588395.93</v>
      </c>
      <c r="E22" s="15">
        <v>6071.26</v>
      </c>
      <c r="F22" s="15">
        <v>24217.65</v>
      </c>
      <c r="G22" s="15">
        <v>97348.64</v>
      </c>
      <c r="H22" s="15">
        <v>68640</v>
      </c>
      <c r="I22" s="15">
        <v>2325493.83</v>
      </c>
      <c r="J22" s="15">
        <v>41656</v>
      </c>
      <c r="K22" s="15">
        <v>2415755.54</v>
      </c>
      <c r="L22" s="15">
        <v>6042845.66</v>
      </c>
      <c r="N22" s="19">
        <f>SUM(B22:M22)</f>
        <v>13806075.830000002</v>
      </c>
      <c r="O22" s="15">
        <v>13518921</v>
      </c>
    </row>
    <row r="23" spans="1:15" ht="11.25" outlineLevel="1">
      <c r="A23" s="15" t="s">
        <v>46</v>
      </c>
      <c r="F23" s="15">
        <v>3772193.33</v>
      </c>
      <c r="N23" s="19">
        <f>SUM(B23:M23)</f>
        <v>3772193.33</v>
      </c>
      <c r="O23" s="15">
        <v>4680155</v>
      </c>
    </row>
    <row r="24" spans="1:15" ht="11.25" outlineLevel="1">
      <c r="A24" s="15" t="s">
        <v>38</v>
      </c>
      <c r="B24" s="15">
        <v>124110.54</v>
      </c>
      <c r="C24" s="15">
        <v>54592.76</v>
      </c>
      <c r="D24" s="15">
        <v>42451.66</v>
      </c>
      <c r="E24" s="15">
        <v>3327.06</v>
      </c>
      <c r="F24" s="15">
        <f>12577.35+747821.42</f>
        <v>760398.77</v>
      </c>
      <c r="G24" s="15">
        <v>1949.84</v>
      </c>
      <c r="I24" s="15">
        <v>281696.71</v>
      </c>
      <c r="J24" s="15">
        <v>5388.79</v>
      </c>
      <c r="K24" s="15">
        <v>96589.81</v>
      </c>
      <c r="L24" s="15">
        <v>1505973.54</v>
      </c>
      <c r="N24" s="19">
        <f>SUM(B24:M24)</f>
        <v>2876479.4800000004</v>
      </c>
      <c r="O24" s="15">
        <v>1973474</v>
      </c>
    </row>
    <row r="26" spans="1:15" ht="11.25">
      <c r="A26" s="14" t="s">
        <v>24</v>
      </c>
      <c r="B26" s="15">
        <f aca="true" t="shared" si="4" ref="B26:O26">SUM(B27:B29)</f>
        <v>0</v>
      </c>
      <c r="C26" s="15">
        <f t="shared" si="4"/>
        <v>11282.12</v>
      </c>
      <c r="D26" s="15">
        <f t="shared" si="4"/>
        <v>29306.54</v>
      </c>
      <c r="E26" s="15">
        <f t="shared" si="4"/>
        <v>0</v>
      </c>
      <c r="F26" s="15">
        <f t="shared" si="4"/>
        <v>89566.72</v>
      </c>
      <c r="G26" s="15">
        <f t="shared" si="4"/>
        <v>0</v>
      </c>
      <c r="H26" s="15">
        <f t="shared" si="4"/>
        <v>532271.3200000001</v>
      </c>
      <c r="I26" s="15">
        <f t="shared" si="4"/>
        <v>61051.14</v>
      </c>
      <c r="J26" s="15">
        <f t="shared" si="4"/>
        <v>0</v>
      </c>
      <c r="K26" s="15">
        <f t="shared" si="4"/>
        <v>155941.48</v>
      </c>
      <c r="L26" s="15">
        <f t="shared" si="4"/>
        <v>2067152.48</v>
      </c>
      <c r="M26" s="15">
        <f t="shared" si="4"/>
        <v>0</v>
      </c>
      <c r="N26" s="15">
        <f t="shared" si="4"/>
        <v>2946571.8</v>
      </c>
      <c r="O26" s="15">
        <f t="shared" si="4"/>
        <v>1560833</v>
      </c>
    </row>
    <row r="27" spans="1:15" ht="11.25" outlineLevel="1">
      <c r="A27" s="15" t="s">
        <v>22</v>
      </c>
      <c r="C27" s="15">
        <v>11282.12</v>
      </c>
      <c r="D27" s="15">
        <v>29306.54</v>
      </c>
      <c r="F27" s="15">
        <v>89566.72</v>
      </c>
      <c r="H27" s="15">
        <v>443537.7</v>
      </c>
      <c r="I27" s="15">
        <v>61051.14</v>
      </c>
      <c r="K27" s="15">
        <v>16353.31</v>
      </c>
      <c r="L27" s="15">
        <v>2021102.01</v>
      </c>
      <c r="N27" s="19">
        <f>SUM(B27:M27)</f>
        <v>2672199.54</v>
      </c>
      <c r="O27" s="15">
        <v>1287066</v>
      </c>
    </row>
    <row r="28" spans="1:15" ht="11.25" outlineLevel="1">
      <c r="A28" s="15" t="s">
        <v>46</v>
      </c>
      <c r="N28" s="19">
        <f>SUM(B28:M28)</f>
        <v>0</v>
      </c>
      <c r="O28" s="15">
        <v>0</v>
      </c>
    </row>
    <row r="29" spans="1:15" ht="11.25" outlineLevel="1">
      <c r="A29" s="15" t="s">
        <v>38</v>
      </c>
      <c r="H29" s="15">
        <v>88733.62</v>
      </c>
      <c r="K29" s="15">
        <v>139588.17</v>
      </c>
      <c r="L29" s="15">
        <v>46050.47</v>
      </c>
      <c r="N29" s="19">
        <f>SUM(B29:M29)</f>
        <v>274372.26</v>
      </c>
      <c r="O29" s="15">
        <v>273767</v>
      </c>
    </row>
    <row r="31" spans="1:15" ht="11.25">
      <c r="A31" s="14" t="s">
        <v>27</v>
      </c>
      <c r="N31" s="19">
        <f>SUM(B31:M31)</f>
        <v>0</v>
      </c>
      <c r="O31" s="15">
        <v>0</v>
      </c>
    </row>
    <row r="32" spans="1:14" ht="11.25">
      <c r="A32" s="14"/>
      <c r="N32" s="19"/>
    </row>
    <row r="33" spans="1:15" s="42" customFormat="1" ht="11.25">
      <c r="A33" s="39" t="s">
        <v>72</v>
      </c>
      <c r="B33" s="42">
        <f aca="true" t="shared" si="5" ref="B33:L33">((B19+B24+B29)/(B17+B18+B22+B23+B27+B28))</f>
        <v>0.06381425130714284</v>
      </c>
      <c r="C33" s="42">
        <f t="shared" si="5"/>
        <v>0.110845117204736</v>
      </c>
      <c r="D33" s="42">
        <f t="shared" si="5"/>
        <v>0.07711100654562458</v>
      </c>
      <c r="E33" s="42">
        <f t="shared" si="5"/>
        <v>0.5480015680435363</v>
      </c>
      <c r="F33" s="42">
        <f t="shared" si="5"/>
        <v>0.18412585391499403</v>
      </c>
      <c r="G33" s="42">
        <f t="shared" si="5"/>
        <v>0.016525766589396012</v>
      </c>
      <c r="H33" s="42">
        <f t="shared" si="5"/>
        <v>0.12225089475586273</v>
      </c>
      <c r="I33" s="42">
        <f t="shared" si="5"/>
        <v>0.1025975482257632</v>
      </c>
      <c r="J33" s="42">
        <f t="shared" si="5"/>
        <v>0.16462129202269432</v>
      </c>
      <c r="K33" s="42">
        <f t="shared" si="5"/>
        <v>0.07680359200119617</v>
      </c>
      <c r="L33" s="42">
        <f t="shared" si="5"/>
        <v>0.18717903048935874</v>
      </c>
      <c r="N33" s="42">
        <f>((N19+N24+N29)/(N17+N18+N22+N23+N27+N28))</f>
        <v>0.1383610462330059</v>
      </c>
      <c r="O33" s="42">
        <f>((O19+O24+O29)/(O17+O18+O22+O23+O27+O28))</f>
        <v>0.10085198542096917</v>
      </c>
    </row>
    <row r="34" spans="2:15" ht="11.25">
      <c r="B34" s="21"/>
      <c r="C34" s="21"/>
      <c r="D34" s="21"/>
      <c r="E34" s="21"/>
      <c r="F34" s="21"/>
      <c r="G34" s="21"/>
      <c r="H34" s="21"/>
      <c r="I34" s="21"/>
      <c r="J34" s="21"/>
      <c r="K34" s="21"/>
      <c r="L34" s="21"/>
      <c r="M34" s="21"/>
      <c r="N34" s="21"/>
      <c r="O34" s="21"/>
    </row>
    <row r="35" spans="1:15" ht="12" thickBot="1">
      <c r="A35" s="8" t="s">
        <v>7</v>
      </c>
      <c r="B35" s="22">
        <f aca="true" t="shared" si="6" ref="B35:O35">+B31+B26+B21+B16+B8</f>
        <v>4156368.66</v>
      </c>
      <c r="C35" s="22">
        <f t="shared" si="6"/>
        <v>594265.62</v>
      </c>
      <c r="D35" s="22">
        <f t="shared" si="6"/>
        <v>1302955.4700000002</v>
      </c>
      <c r="E35" s="22">
        <f t="shared" si="6"/>
        <v>9398.32</v>
      </c>
      <c r="F35" s="22">
        <f t="shared" si="6"/>
        <v>5516263.72</v>
      </c>
      <c r="G35" s="22">
        <f t="shared" si="6"/>
        <v>218081.27</v>
      </c>
      <c r="H35" s="22">
        <f t="shared" si="6"/>
        <v>1006576.99</v>
      </c>
      <c r="I35" s="22">
        <f t="shared" si="6"/>
        <v>3885490.69</v>
      </c>
      <c r="J35" s="22">
        <f t="shared" si="6"/>
        <v>3104447.2300000004</v>
      </c>
      <c r="K35" s="22">
        <f t="shared" si="6"/>
        <v>4891428.3</v>
      </c>
      <c r="L35" s="22">
        <f t="shared" si="6"/>
        <v>10614895.34</v>
      </c>
      <c r="M35" s="22">
        <f t="shared" si="6"/>
        <v>0</v>
      </c>
      <c r="N35" s="22">
        <f t="shared" si="6"/>
        <v>35300171.61</v>
      </c>
      <c r="O35" s="22">
        <f t="shared" si="6"/>
        <v>32353036</v>
      </c>
    </row>
    <row r="36" ht="12" thickTop="1">
      <c r="F36" s="24" t="s">
        <v>34</v>
      </c>
    </row>
    <row r="38" spans="2:8" ht="11.25">
      <c r="B38" s="23"/>
      <c r="C38" s="23"/>
      <c r="D38" s="23"/>
      <c r="E38" s="23"/>
      <c r="F38" s="23"/>
      <c r="G38" s="23"/>
      <c r="H38" s="23"/>
    </row>
    <row r="39" spans="1:8" ht="11.25">
      <c r="A39" s="8"/>
      <c r="B39" s="23"/>
      <c r="C39" s="23"/>
      <c r="D39" s="23"/>
      <c r="E39" s="23"/>
      <c r="F39" s="23"/>
      <c r="G39" s="23"/>
      <c r="H39" s="23"/>
    </row>
    <row r="40" spans="2:8" ht="11.25">
      <c r="B40" s="23"/>
      <c r="C40" s="23"/>
      <c r="D40" s="23"/>
      <c r="E40" s="23"/>
      <c r="F40" s="23"/>
      <c r="G40" s="23"/>
      <c r="H40" s="23"/>
    </row>
    <row r="41" spans="2:8" ht="11.25">
      <c r="B41" s="23"/>
      <c r="C41" s="23"/>
      <c r="D41" s="23"/>
      <c r="E41" s="23"/>
      <c r="F41" s="23"/>
      <c r="G41" s="23"/>
      <c r="H41" s="23"/>
    </row>
    <row r="42" spans="2:10" ht="11.25">
      <c r="B42" s="23"/>
      <c r="C42" s="23"/>
      <c r="D42" s="23"/>
      <c r="E42" s="23"/>
      <c r="F42" s="23"/>
      <c r="G42" s="23"/>
      <c r="H42" s="23"/>
      <c r="I42" s="23"/>
      <c r="J42" s="23"/>
    </row>
    <row r="43" spans="2:10" ht="11.25">
      <c r="B43" s="23"/>
      <c r="C43" s="23"/>
      <c r="D43" s="23"/>
      <c r="E43" s="23"/>
      <c r="F43" s="23"/>
      <c r="G43" s="23"/>
      <c r="H43" s="23"/>
      <c r="I43" s="23"/>
      <c r="J43" s="23"/>
    </row>
    <row r="44" spans="2:8" ht="11.25">
      <c r="B44" s="23"/>
      <c r="C44" s="23"/>
      <c r="D44" s="23"/>
      <c r="E44" s="23"/>
      <c r="F44" s="23"/>
      <c r="G44" s="23"/>
      <c r="H44" s="23"/>
    </row>
    <row r="45" spans="2:16" ht="11.25">
      <c r="B45" s="23"/>
      <c r="C45" s="23"/>
      <c r="D45" s="23"/>
      <c r="E45" s="23"/>
      <c r="F45" s="23"/>
      <c r="G45" s="23"/>
      <c r="H45" s="23"/>
      <c r="K45" s="23"/>
      <c r="L45" s="23"/>
      <c r="M45" s="23"/>
      <c r="N45" s="23"/>
      <c r="O45" s="23"/>
      <c r="P45" s="23"/>
    </row>
    <row r="46" spans="2:16" ht="11.25">
      <c r="B46" s="23"/>
      <c r="C46" s="23"/>
      <c r="D46" s="23"/>
      <c r="E46" s="23"/>
      <c r="F46" s="23"/>
      <c r="G46" s="23"/>
      <c r="H46" s="23"/>
      <c r="K46" s="23"/>
      <c r="L46" s="23"/>
      <c r="M46" s="23"/>
      <c r="N46" s="23"/>
      <c r="O46" s="23"/>
      <c r="P46" s="23"/>
    </row>
    <row r="47" spans="2:16" ht="11.25">
      <c r="B47" s="27"/>
      <c r="C47" s="12"/>
      <c r="D47" s="12"/>
      <c r="K47" s="23"/>
      <c r="L47" s="23"/>
      <c r="M47" s="23"/>
      <c r="N47" s="23"/>
      <c r="O47" s="23"/>
      <c r="P47" s="23"/>
    </row>
    <row r="48" spans="11:16" ht="11.25">
      <c r="K48" s="8" t="s">
        <v>49</v>
      </c>
      <c r="L48" s="2"/>
      <c r="M48" s="2"/>
      <c r="N48" s="28" t="s">
        <v>50</v>
      </c>
      <c r="O48" s="28" t="s">
        <v>51</v>
      </c>
      <c r="P48" s="23"/>
    </row>
    <row r="49" spans="11:16" ht="11.25">
      <c r="K49" s="2"/>
      <c r="L49" s="2"/>
      <c r="M49" s="2"/>
      <c r="N49" s="28" t="s">
        <v>52</v>
      </c>
      <c r="O49" s="28" t="s">
        <v>53</v>
      </c>
      <c r="P49" s="23"/>
    </row>
    <row r="50" spans="11:16" ht="11.25">
      <c r="K50" s="2"/>
      <c r="L50" s="12"/>
      <c r="M50" s="12"/>
      <c r="N50" s="19"/>
      <c r="P50" s="23"/>
    </row>
    <row r="51" spans="11:16" ht="11.25">
      <c r="K51" s="2" t="s">
        <v>67</v>
      </c>
      <c r="L51" s="12"/>
      <c r="M51" s="12"/>
      <c r="N51" s="36">
        <f>N18+N17+N22+N23+N27+N28-N60+N9</f>
        <v>26402112.459999993</v>
      </c>
      <c r="O51" s="21">
        <v>26470847</v>
      </c>
      <c r="P51" s="23"/>
    </row>
    <row r="52" spans="11:16" ht="11.25">
      <c r="K52" s="2"/>
      <c r="L52" s="12"/>
      <c r="M52" s="12"/>
      <c r="N52" s="19"/>
      <c r="P52" s="23"/>
    </row>
    <row r="53" spans="11:16" ht="12" thickBot="1">
      <c r="K53" s="2" t="s">
        <v>65</v>
      </c>
      <c r="L53" s="12"/>
      <c r="M53" s="12"/>
      <c r="N53" s="37">
        <f>N51</f>
        <v>26402112.459999993</v>
      </c>
      <c r="O53" s="22">
        <f>O51</f>
        <v>26470847</v>
      </c>
      <c r="P53" s="23"/>
    </row>
    <row r="54" spans="2:16" ht="12" thickTop="1">
      <c r="B54" s="23"/>
      <c r="C54" s="23"/>
      <c r="D54" s="23"/>
      <c r="E54" s="23"/>
      <c r="F54" s="23"/>
      <c r="G54" s="23"/>
      <c r="H54" s="23"/>
      <c r="I54" s="23"/>
      <c r="J54" s="23"/>
      <c r="K54" s="2"/>
      <c r="L54" s="12"/>
      <c r="M54" s="12"/>
      <c r="N54" s="19"/>
      <c r="P54" s="23"/>
    </row>
    <row r="55" spans="11:16" ht="11.25">
      <c r="K55" s="15" t="s">
        <v>35</v>
      </c>
      <c r="L55" s="2"/>
      <c r="M55" s="2"/>
      <c r="N55" s="19">
        <f>SUM(N12)</f>
        <v>12526.26</v>
      </c>
      <c r="O55" s="15">
        <f>SUM(N12)</f>
        <v>12526.26</v>
      </c>
      <c r="P55" s="23"/>
    </row>
    <row r="56" spans="11:16" ht="11.25">
      <c r="K56" s="15" t="s">
        <v>36</v>
      </c>
      <c r="L56" s="2"/>
      <c r="M56" s="2"/>
      <c r="N56" s="30">
        <f>SUM(N13)</f>
        <v>3921840.7600000002</v>
      </c>
      <c r="O56" s="23">
        <f>SUM(N13)</f>
        <v>3921840.7600000002</v>
      </c>
      <c r="P56" s="23"/>
    </row>
    <row r="57" spans="11:16" ht="11.25">
      <c r="K57" s="15" t="s">
        <v>38</v>
      </c>
      <c r="L57" s="2"/>
      <c r="M57" s="2"/>
      <c r="N57" s="30">
        <f>SUM(N29+N19+N24)</f>
        <v>3662533.95</v>
      </c>
      <c r="O57" s="23">
        <f>SUM(N29+N19+N24)</f>
        <v>3662533.95</v>
      </c>
      <c r="P57" s="23"/>
    </row>
    <row r="58" spans="11:16" ht="11.25">
      <c r="K58" s="15" t="s">
        <v>37</v>
      </c>
      <c r="L58" s="12"/>
      <c r="M58" s="12"/>
      <c r="N58" s="30">
        <f>SUM(N14)</f>
        <v>327171.02999999997</v>
      </c>
      <c r="O58" s="23">
        <f>SUM(N14)</f>
        <v>327171.02999999997</v>
      </c>
      <c r="P58" s="23"/>
    </row>
    <row r="59" spans="11:16" ht="11.25">
      <c r="K59" s="2" t="s">
        <v>68</v>
      </c>
      <c r="L59" s="2"/>
      <c r="M59" s="2"/>
      <c r="N59" s="30">
        <f>N10</f>
        <v>603993.8</v>
      </c>
      <c r="O59" s="23">
        <f>N10</f>
        <v>603993.8</v>
      </c>
      <c r="P59" s="23"/>
    </row>
    <row r="60" spans="11:16" ht="11.25">
      <c r="K60" s="2" t="s">
        <v>58</v>
      </c>
      <c r="L60" s="12"/>
      <c r="M60" s="12"/>
      <c r="N60" s="30">
        <v>369993.35</v>
      </c>
      <c r="O60" s="23">
        <v>301259.79</v>
      </c>
      <c r="P60" s="23"/>
    </row>
    <row r="61" spans="11:16" ht="11.25">
      <c r="K61" s="2" t="s">
        <v>59</v>
      </c>
      <c r="L61" s="12"/>
      <c r="M61" s="12"/>
      <c r="N61" s="36"/>
      <c r="O61" s="21">
        <v>0</v>
      </c>
      <c r="P61" s="23"/>
    </row>
    <row r="62" spans="11:16" ht="11.25">
      <c r="K62" s="2"/>
      <c r="L62" s="12"/>
      <c r="M62" s="12"/>
      <c r="P62" s="23"/>
    </row>
    <row r="63" spans="11:16" ht="12" thickBot="1">
      <c r="K63" s="2" t="s">
        <v>7</v>
      </c>
      <c r="L63" s="12"/>
      <c r="M63" s="12"/>
      <c r="N63" s="22">
        <f>SUM(N53:N61)</f>
        <v>35300171.61</v>
      </c>
      <c r="O63" s="22">
        <f>SUM(O53:O61)</f>
        <v>35300172.59</v>
      </c>
      <c r="P63" s="23"/>
    </row>
    <row r="64" spans="14:16" ht="12" thickTop="1">
      <c r="N64" s="15">
        <f>+N35-N63</f>
        <v>0</v>
      </c>
      <c r="O64" s="15">
        <f>N63-O63</f>
        <v>-0.9800000041723251</v>
      </c>
      <c r="P64" s="23"/>
    </row>
    <row r="65" spans="11:16" ht="11.25">
      <c r="K65" s="23"/>
      <c r="L65" s="23"/>
      <c r="M65" s="23"/>
      <c r="N65" s="23"/>
      <c r="O65" s="23"/>
      <c r="P65" s="23"/>
    </row>
    <row r="66" spans="11:16" ht="11.25">
      <c r="K66" s="23"/>
      <c r="L66" s="23"/>
      <c r="M66" s="23"/>
      <c r="N66" s="23"/>
      <c r="O66" s="23"/>
      <c r="P66" s="23"/>
    </row>
    <row r="67" spans="11:16" ht="11.25">
      <c r="K67" s="23"/>
      <c r="L67" s="23"/>
      <c r="M67" s="23"/>
      <c r="N67" s="23"/>
      <c r="O67" s="23"/>
      <c r="P67" s="23"/>
    </row>
    <row r="68" spans="11:16" ht="11.25">
      <c r="K68" s="23"/>
      <c r="L68" s="23"/>
      <c r="M68" s="23"/>
      <c r="N68" s="23"/>
      <c r="O68" s="23"/>
      <c r="P68" s="23"/>
    </row>
  </sheetData>
  <sheetProtection/>
  <printOptions horizontalCentered="1" verticalCentered="1"/>
  <pageMargins left="0" right="0" top="0.5" bottom="0.5" header="0.25" footer="0.25"/>
  <pageSetup fitToHeight="1" fitToWidth="1" horizontalDpi="300" verticalDpi="300" orientation="landscape" scale="76" r:id="rId1"/>
  <headerFooter alignWithMargins="0">
    <oddHeader>&amp;L11/04/15&amp;C&amp;F</oddHeader>
  </headerFooter>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Q66"/>
  <sheetViews>
    <sheetView zoomScalePageLayoutView="0" workbookViewId="0" topLeftCell="A1">
      <pane xSplit="1" ySplit="6" topLeftCell="B28" activePane="bottomRight" state="frozen"/>
      <selection pane="topLeft" activeCell="O2" sqref="O2"/>
      <selection pane="topRight" activeCell="O2" sqref="O2"/>
      <selection pane="bottomLeft" activeCell="O2" sqref="O2"/>
      <selection pane="bottomRight" activeCell="O62" sqref="O62"/>
    </sheetView>
  </sheetViews>
  <sheetFormatPr defaultColWidth="9.140625" defaultRowHeight="12.75" outlineLevelRow="1"/>
  <cols>
    <col min="1" max="1" width="18.8515625" style="15" customWidth="1"/>
    <col min="2" max="2" width="10.57421875" style="15" customWidth="1"/>
    <col min="3" max="3" width="9.8515625" style="15" bestFit="1" customWidth="1"/>
    <col min="4" max="4" width="10.00390625" style="15" customWidth="1"/>
    <col min="5" max="5" width="10.28125" style="15" customWidth="1"/>
    <col min="6" max="6" width="9.140625" style="15" customWidth="1"/>
    <col min="7" max="7" width="10.57421875" style="15" customWidth="1"/>
    <col min="8" max="9" width="9.140625" style="15" customWidth="1"/>
    <col min="10" max="11" width="10.140625" style="15" customWidth="1"/>
    <col min="12" max="12" width="10.00390625" style="15" customWidth="1"/>
    <col min="13" max="13" width="9.140625" style="15" customWidth="1"/>
    <col min="14" max="14" width="10.00390625" style="15" bestFit="1" customWidth="1"/>
    <col min="15" max="15" width="10.140625" style="15" bestFit="1" customWidth="1"/>
    <col min="16" max="16384" width="9.140625" style="15" customWidth="1"/>
  </cols>
  <sheetData>
    <row r="1" spans="1:15" ht="11.25">
      <c r="A1" s="8" t="s">
        <v>76</v>
      </c>
      <c r="H1" s="13"/>
      <c r="O1" s="33" t="s">
        <v>45</v>
      </c>
    </row>
    <row r="2" ht="11.25">
      <c r="A2" s="14" t="s">
        <v>28</v>
      </c>
    </row>
    <row r="3" ht="11.25">
      <c r="O3" s="29" t="s">
        <v>34</v>
      </c>
    </row>
    <row r="4" spans="1:15" ht="11.25">
      <c r="A4" s="14" t="s">
        <v>41</v>
      </c>
      <c r="B4" s="16"/>
      <c r="C4" s="16"/>
      <c r="D4" s="16"/>
      <c r="E4" s="16"/>
      <c r="F4" s="16"/>
      <c r="G4" s="16"/>
      <c r="H4" s="16" t="s">
        <v>1</v>
      </c>
      <c r="I4" s="16"/>
      <c r="J4" s="16"/>
      <c r="K4" s="16"/>
      <c r="L4" s="16" t="s">
        <v>29</v>
      </c>
      <c r="M4" s="16"/>
      <c r="N4" s="38" t="s">
        <v>77</v>
      </c>
      <c r="O4" s="38" t="s">
        <v>73</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31" t="s">
        <v>8</v>
      </c>
    </row>
    <row r="7" spans="1:15" s="19" customFormat="1" ht="11.25">
      <c r="A7" s="5" t="s">
        <v>17</v>
      </c>
      <c r="B7" s="18"/>
      <c r="C7" s="18"/>
      <c r="D7" s="18"/>
      <c r="E7" s="18"/>
      <c r="F7" s="18"/>
      <c r="G7" s="18"/>
      <c r="H7" s="18"/>
      <c r="I7" s="18"/>
      <c r="J7" s="18"/>
      <c r="K7" s="18"/>
      <c r="L7" s="18"/>
      <c r="M7" s="18"/>
      <c r="N7" s="18"/>
      <c r="O7" s="18"/>
    </row>
    <row r="8" spans="1:15" ht="11.25" customHeight="1">
      <c r="A8" s="8" t="s">
        <v>18</v>
      </c>
      <c r="B8" s="15">
        <f>SUM(B9:B14)</f>
        <v>5606277.76</v>
      </c>
      <c r="C8" s="15">
        <f aca="true" t="shared" si="0" ref="C8:O8">SUM(C9:C14)</f>
        <v>38115600.6</v>
      </c>
      <c r="D8" s="15">
        <f t="shared" si="0"/>
        <v>2494.66</v>
      </c>
      <c r="E8" s="15">
        <f t="shared" si="0"/>
        <v>80264.15</v>
      </c>
      <c r="F8" s="15">
        <f t="shared" si="0"/>
        <v>4881194.55</v>
      </c>
      <c r="G8" s="15">
        <f t="shared" si="0"/>
        <v>3806443.29</v>
      </c>
      <c r="H8" s="15">
        <f t="shared" si="0"/>
        <v>153660.9</v>
      </c>
      <c r="I8" s="15">
        <f t="shared" si="0"/>
        <v>190615.34</v>
      </c>
      <c r="J8" s="15">
        <f t="shared" si="0"/>
        <v>3087444.47</v>
      </c>
      <c r="K8" s="15">
        <f t="shared" si="0"/>
        <v>2615.7</v>
      </c>
      <c r="L8" s="15">
        <f t="shared" si="0"/>
        <v>2716904.53</v>
      </c>
      <c r="M8" s="15">
        <f t="shared" si="0"/>
        <v>107445.14</v>
      </c>
      <c r="N8" s="15">
        <f t="shared" si="0"/>
        <v>58750961.09000001</v>
      </c>
      <c r="O8" s="15">
        <f t="shared" si="0"/>
        <v>51468718</v>
      </c>
    </row>
    <row r="9" spans="1:15" s="7" customFormat="1" ht="11.25" customHeight="1" outlineLevel="1">
      <c r="A9" s="7" t="s">
        <v>19</v>
      </c>
      <c r="B9" s="7">
        <v>4688518.75</v>
      </c>
      <c r="C9" s="7">
        <v>35884082.88</v>
      </c>
      <c r="E9" s="7">
        <v>73680.45</v>
      </c>
      <c r="F9" s="7">
        <v>4789789.85</v>
      </c>
      <c r="G9" s="7">
        <v>3230523.08</v>
      </c>
      <c r="H9" s="7">
        <v>1087.53</v>
      </c>
      <c r="J9" s="7">
        <v>3053998.18</v>
      </c>
      <c r="L9" s="7">
        <v>2716904.53</v>
      </c>
      <c r="M9" s="7">
        <v>107445.14</v>
      </c>
      <c r="N9" s="7">
        <f aca="true" t="shared" si="1" ref="N9:N14">SUM(B9:M9)</f>
        <v>54546030.39000001</v>
      </c>
      <c r="O9" s="7">
        <v>47584009</v>
      </c>
    </row>
    <row r="10" spans="1:15" s="7" customFormat="1" ht="11.25" customHeight="1" outlineLevel="1">
      <c r="A10" s="7" t="s">
        <v>20</v>
      </c>
      <c r="C10" s="7">
        <v>708128.82</v>
      </c>
      <c r="G10" s="7">
        <v>65207.97</v>
      </c>
      <c r="H10" s="7">
        <v>11374.55</v>
      </c>
      <c r="N10" s="7">
        <f t="shared" si="1"/>
        <v>784711.34</v>
      </c>
      <c r="O10" s="7">
        <v>442682</v>
      </c>
    </row>
    <row r="11" spans="1:15" ht="11.25" customHeight="1" outlineLevel="1">
      <c r="A11" s="15" t="s">
        <v>31</v>
      </c>
      <c r="N11" s="7">
        <f t="shared" si="1"/>
        <v>0</v>
      </c>
      <c r="O11" s="15">
        <v>0</v>
      </c>
    </row>
    <row r="12" spans="1:15" ht="11.25" outlineLevel="1">
      <c r="A12" s="15" t="s">
        <v>35</v>
      </c>
      <c r="B12" s="15">
        <v>382.82</v>
      </c>
      <c r="C12" s="20">
        <v>10491.66</v>
      </c>
      <c r="N12" s="7">
        <f t="shared" si="1"/>
        <v>10874.48</v>
      </c>
      <c r="O12" s="15">
        <v>0</v>
      </c>
    </row>
    <row r="13" spans="1:17" ht="11.25" outlineLevel="1">
      <c r="A13" s="15" t="s">
        <v>36</v>
      </c>
      <c r="B13" s="15">
        <v>917376.19</v>
      </c>
      <c r="C13" s="15">
        <v>1237435.13</v>
      </c>
      <c r="D13" s="15">
        <v>2494.66</v>
      </c>
      <c r="E13" s="15">
        <v>6583.7</v>
      </c>
      <c r="F13" s="15">
        <v>91404.7</v>
      </c>
      <c r="G13" s="15">
        <v>485346.34</v>
      </c>
      <c r="H13" s="15">
        <v>136774.12</v>
      </c>
      <c r="I13" s="15">
        <v>190615.34</v>
      </c>
      <c r="J13" s="15">
        <v>33446.29</v>
      </c>
      <c r="K13" s="15">
        <v>2615.7</v>
      </c>
      <c r="N13" s="7">
        <f t="shared" si="1"/>
        <v>3104092.1700000004</v>
      </c>
      <c r="O13" s="15">
        <v>3270709</v>
      </c>
      <c r="Q13" s="15" t="e">
        <f>SUM(#REF!+#REF!+#REF!+#REF!+#REF!)</f>
        <v>#REF!</v>
      </c>
    </row>
    <row r="14" spans="1:15" ht="11.25" outlineLevel="1">
      <c r="A14" s="15" t="s">
        <v>37</v>
      </c>
      <c r="C14" s="15">
        <v>275462.11</v>
      </c>
      <c r="G14" s="15">
        <v>25365.9</v>
      </c>
      <c r="H14" s="15">
        <v>4424.7</v>
      </c>
      <c r="N14" s="7">
        <f t="shared" si="1"/>
        <v>305252.71</v>
      </c>
      <c r="O14" s="15">
        <v>171318</v>
      </c>
    </row>
    <row r="16" spans="1:15" ht="11.25">
      <c r="A16" s="14" t="s">
        <v>25</v>
      </c>
      <c r="B16" s="15">
        <f aca="true" t="shared" si="2" ref="B16:M16">SUM(B17:B19)</f>
        <v>203655.96</v>
      </c>
      <c r="C16" s="15">
        <f t="shared" si="2"/>
        <v>776050.0599999999</v>
      </c>
      <c r="D16" s="15">
        <f t="shared" si="2"/>
        <v>0</v>
      </c>
      <c r="E16" s="15">
        <f t="shared" si="2"/>
        <v>0</v>
      </c>
      <c r="F16" s="15">
        <f t="shared" si="2"/>
        <v>20325.29</v>
      </c>
      <c r="G16" s="15">
        <f t="shared" si="2"/>
        <v>113876.11</v>
      </c>
      <c r="H16" s="15">
        <f t="shared" si="2"/>
        <v>82366.63</v>
      </c>
      <c r="I16" s="15">
        <f t="shared" si="2"/>
        <v>0</v>
      </c>
      <c r="J16" s="15">
        <f t="shared" si="2"/>
        <v>15969.64</v>
      </c>
      <c r="K16" s="15">
        <f t="shared" si="2"/>
        <v>0</v>
      </c>
      <c r="L16" s="15">
        <f t="shared" si="2"/>
        <v>0</v>
      </c>
      <c r="M16" s="15">
        <f t="shared" si="2"/>
        <v>0</v>
      </c>
      <c r="N16" s="15">
        <f>SUM(N17:N19)</f>
        <v>1212243.69</v>
      </c>
      <c r="O16" s="15">
        <f>SUM(O17:O19)</f>
        <v>1741098</v>
      </c>
    </row>
    <row r="17" spans="1:15" ht="11.25" outlineLevel="1">
      <c r="A17" s="15" t="s">
        <v>22</v>
      </c>
      <c r="B17" s="15">
        <v>201261.59</v>
      </c>
      <c r="C17" s="15">
        <f>689170.87+3403.59</f>
        <v>692574.46</v>
      </c>
      <c r="F17" s="15">
        <v>20325.29</v>
      </c>
      <c r="G17" s="15">
        <v>97852.53</v>
      </c>
      <c r="H17" s="15">
        <v>78435.11</v>
      </c>
      <c r="J17" s="15">
        <v>15969.64</v>
      </c>
      <c r="N17" s="7">
        <f>SUM(B17:M17)</f>
        <v>1106418.6199999999</v>
      </c>
      <c r="O17" s="15">
        <v>1590044</v>
      </c>
    </row>
    <row r="18" spans="1:15" ht="11.25" outlineLevel="1">
      <c r="A18" s="15" t="s">
        <v>46</v>
      </c>
      <c r="B18" s="15">
        <v>-175.23</v>
      </c>
      <c r="N18" s="7">
        <f>SUM(B18:M18)</f>
        <v>-175.23</v>
      </c>
      <c r="O18" s="15">
        <v>0</v>
      </c>
    </row>
    <row r="19" spans="1:15" ht="11.25" outlineLevel="1">
      <c r="A19" s="15" t="s">
        <v>38</v>
      </c>
      <c r="B19" s="15">
        <v>2569.6</v>
      </c>
      <c r="C19" s="15">
        <v>83475.6</v>
      </c>
      <c r="G19" s="15">
        <v>16023.58</v>
      </c>
      <c r="H19" s="15">
        <v>3931.52</v>
      </c>
      <c r="N19" s="7">
        <f>SUM(B19:M19)</f>
        <v>106000.30000000002</v>
      </c>
      <c r="O19" s="15">
        <v>151054</v>
      </c>
    </row>
    <row r="21" spans="1:15" ht="11.25">
      <c r="A21" s="14" t="s">
        <v>23</v>
      </c>
      <c r="B21" s="15">
        <f aca="true" t="shared" si="3" ref="B21:O21">SUM(B22:B24)</f>
        <v>3546217.6</v>
      </c>
      <c r="C21" s="15">
        <f t="shared" si="3"/>
        <v>2359609.2</v>
      </c>
      <c r="D21" s="15">
        <f t="shared" si="3"/>
        <v>3890.91</v>
      </c>
      <c r="E21" s="15">
        <f t="shared" si="3"/>
        <v>20992.1</v>
      </c>
      <c r="F21" s="15">
        <f t="shared" si="3"/>
        <v>143418.94999999998</v>
      </c>
      <c r="G21" s="15">
        <f t="shared" si="3"/>
        <v>1582881.58</v>
      </c>
      <c r="H21" s="15">
        <f t="shared" si="3"/>
        <v>3468117.34</v>
      </c>
      <c r="I21" s="15">
        <f t="shared" si="3"/>
        <v>711357.3200000001</v>
      </c>
      <c r="J21" s="15">
        <f t="shared" si="3"/>
        <v>7699.42</v>
      </c>
      <c r="K21" s="15">
        <f t="shared" si="3"/>
        <v>4843.89</v>
      </c>
      <c r="L21" s="15">
        <f t="shared" si="3"/>
        <v>0</v>
      </c>
      <c r="M21" s="15">
        <f t="shared" si="3"/>
        <v>0</v>
      </c>
      <c r="N21" s="15">
        <f t="shared" si="3"/>
        <v>11849028.310000002</v>
      </c>
      <c r="O21" s="15">
        <f t="shared" si="3"/>
        <v>11094222</v>
      </c>
    </row>
    <row r="22" spans="1:15" ht="11.25" outlineLevel="1">
      <c r="A22" s="15" t="s">
        <v>22</v>
      </c>
      <c r="B22" s="15">
        <f>3267364.39+82246.87</f>
        <v>3349611.2600000002</v>
      </c>
      <c r="C22" s="15">
        <v>2091438.77</v>
      </c>
      <c r="D22" s="15">
        <v>3890.91</v>
      </c>
      <c r="E22" s="15">
        <v>17065.16</v>
      </c>
      <c r="F22" s="15">
        <v>134241.15</v>
      </c>
      <c r="G22" s="15">
        <v>1400468.3</v>
      </c>
      <c r="H22" s="15">
        <v>2796154.09</v>
      </c>
      <c r="I22" s="15">
        <v>598311.01</v>
      </c>
      <c r="J22" s="15">
        <v>6999.47</v>
      </c>
      <c r="K22" s="15">
        <v>4843.89</v>
      </c>
      <c r="N22" s="7">
        <f>SUM(B22:M22)</f>
        <v>10403024.010000002</v>
      </c>
      <c r="O22" s="15">
        <v>10072642</v>
      </c>
    </row>
    <row r="23" spans="1:15" ht="11.25" outlineLevel="1">
      <c r="A23" s="15" t="s">
        <v>46</v>
      </c>
      <c r="N23" s="7">
        <f>SUM(B23:M23)</f>
        <v>0</v>
      </c>
      <c r="O23" s="15">
        <v>13674</v>
      </c>
    </row>
    <row r="24" spans="1:15" ht="11.25" outlineLevel="1">
      <c r="A24" s="15" t="s">
        <v>38</v>
      </c>
      <c r="B24" s="15">
        <v>196606.34</v>
      </c>
      <c r="C24" s="15">
        <v>268170.43</v>
      </c>
      <c r="E24" s="15">
        <v>3926.94</v>
      </c>
      <c r="F24" s="15">
        <v>9177.8</v>
      </c>
      <c r="G24" s="15">
        <v>182413.28</v>
      </c>
      <c r="H24" s="15">
        <v>671963.25</v>
      </c>
      <c r="I24" s="15">
        <v>113046.31</v>
      </c>
      <c r="J24" s="15">
        <v>699.95</v>
      </c>
      <c r="N24" s="7">
        <f>SUM(B24:M24)</f>
        <v>1446004.3</v>
      </c>
      <c r="O24" s="15">
        <v>1007906</v>
      </c>
    </row>
    <row r="26" spans="1:15" ht="11.25">
      <c r="A26" s="14" t="s">
        <v>24</v>
      </c>
      <c r="B26" s="15">
        <f aca="true" t="shared" si="4" ref="B26:M26">SUM(B27:B29)</f>
        <v>1625214.18</v>
      </c>
      <c r="C26" s="15">
        <f t="shared" si="4"/>
        <v>2317718.84</v>
      </c>
      <c r="D26" s="15">
        <f t="shared" si="4"/>
        <v>2934.99</v>
      </c>
      <c r="E26" s="15">
        <f t="shared" si="4"/>
        <v>5999.71</v>
      </c>
      <c r="F26" s="15">
        <f t="shared" si="4"/>
        <v>237703.91</v>
      </c>
      <c r="G26" s="15">
        <f t="shared" si="4"/>
        <v>577130.6100000001</v>
      </c>
      <c r="H26" s="15">
        <f t="shared" si="4"/>
        <v>24072.269999999997</v>
      </c>
      <c r="I26" s="15">
        <f t="shared" si="4"/>
        <v>0</v>
      </c>
      <c r="J26" s="15">
        <f t="shared" si="4"/>
        <v>65264.1</v>
      </c>
      <c r="K26" s="15">
        <f t="shared" si="4"/>
        <v>0</v>
      </c>
      <c r="L26" s="15">
        <f t="shared" si="4"/>
        <v>0</v>
      </c>
      <c r="M26" s="15">
        <f t="shared" si="4"/>
        <v>0</v>
      </c>
      <c r="N26" s="15">
        <f>SUM(N27:N29)</f>
        <v>4856038.609999999</v>
      </c>
      <c r="O26" s="15">
        <f>SUM(O27:O29)</f>
        <v>4655470</v>
      </c>
    </row>
    <row r="27" spans="1:15" ht="11.25" outlineLevel="1">
      <c r="A27" s="15" t="s">
        <v>22</v>
      </c>
      <c r="B27" s="15">
        <f>1540393.38+18345</f>
        <v>1558738.38</v>
      </c>
      <c r="C27" s="15">
        <f>2315779.34+883.32</f>
        <v>2316662.6599999997</v>
      </c>
      <c r="D27" s="15">
        <v>2934.99</v>
      </c>
      <c r="E27" s="15">
        <v>5999.71</v>
      </c>
      <c r="F27" s="15">
        <v>216125.64</v>
      </c>
      <c r="G27" s="15">
        <v>577101.18</v>
      </c>
      <c r="H27" s="15">
        <v>21444.69</v>
      </c>
      <c r="J27" s="15">
        <v>65264.1</v>
      </c>
      <c r="N27" s="7">
        <f>SUM(B27:M27)</f>
        <v>4764271.35</v>
      </c>
      <c r="O27" s="15">
        <v>4539384</v>
      </c>
    </row>
    <row r="28" spans="1:15" ht="11.25" outlineLevel="1">
      <c r="A28" s="15" t="s">
        <v>46</v>
      </c>
      <c r="N28" s="7">
        <f>SUM(B28:M28)</f>
        <v>0</v>
      </c>
      <c r="O28" s="15">
        <v>0</v>
      </c>
    </row>
    <row r="29" spans="1:15" ht="11.25" outlineLevel="1">
      <c r="A29" s="15" t="s">
        <v>38</v>
      </c>
      <c r="B29" s="15">
        <v>66475.8</v>
      </c>
      <c r="C29" s="15">
        <v>1056.18</v>
      </c>
      <c r="F29" s="15">
        <v>21578.27</v>
      </c>
      <c r="G29" s="15">
        <v>29.43</v>
      </c>
      <c r="H29" s="15">
        <v>2627.58</v>
      </c>
      <c r="N29" s="7">
        <f>SUM(B29:M29)</f>
        <v>91767.26</v>
      </c>
      <c r="O29" s="15">
        <v>116086</v>
      </c>
    </row>
    <row r="31" spans="1:15" ht="11.25">
      <c r="A31" s="14" t="s">
        <v>27</v>
      </c>
      <c r="B31" s="15">
        <v>-668.83</v>
      </c>
      <c r="C31" s="15">
        <v>2600301.67</v>
      </c>
      <c r="N31" s="7">
        <f>SUM(B31:M31)</f>
        <v>2599632.84</v>
      </c>
      <c r="O31" s="15">
        <v>5706466</v>
      </c>
    </row>
    <row r="32" spans="1:14" ht="11.25">
      <c r="A32" s="14"/>
      <c r="N32" s="7"/>
    </row>
    <row r="33" spans="1:15" s="42" customFormat="1" ht="11.25">
      <c r="A33" s="39" t="s">
        <v>72</v>
      </c>
      <c r="B33" s="42">
        <f aca="true" t="shared" si="5" ref="B33:K33">((B19+B24+B29)/(B17+B18+B22+B23+B27+B28))</f>
        <v>0.051992380372315065</v>
      </c>
      <c r="C33" s="42">
        <f t="shared" si="5"/>
        <v>0.06914813205275037</v>
      </c>
      <c r="D33" s="42">
        <f t="shared" si="5"/>
        <v>0</v>
      </c>
      <c r="E33" s="42">
        <f t="shared" si="5"/>
        <v>0.17025632487848405</v>
      </c>
      <c r="F33" s="42">
        <f t="shared" si="5"/>
        <v>0.0829693205206866</v>
      </c>
      <c r="G33" s="42">
        <f t="shared" si="5"/>
        <v>0.095626956370189</v>
      </c>
      <c r="H33" s="42">
        <f t="shared" si="5"/>
        <v>0.23429364978874612</v>
      </c>
      <c r="I33" s="42">
        <f t="shared" si="5"/>
        <v>0.18894238633516036</v>
      </c>
      <c r="J33" s="42">
        <f t="shared" si="5"/>
        <v>0.007932954043041165</v>
      </c>
      <c r="K33" s="42">
        <f t="shared" si="5"/>
        <v>0</v>
      </c>
      <c r="N33" s="42">
        <f>((N19+N24+N29)/(N17+N18+N22+N23+N27+N28))</f>
        <v>0.1010088761425661</v>
      </c>
      <c r="O33" s="42">
        <f>((O19+O24+O29)/(O17+O18+O22+O23+O27+O28))</f>
        <v>0.07863012637594674</v>
      </c>
    </row>
    <row r="34" spans="2:15" ht="11.25">
      <c r="B34" s="21"/>
      <c r="C34" s="21"/>
      <c r="D34" s="21"/>
      <c r="E34" s="21"/>
      <c r="F34" s="21"/>
      <c r="G34" s="21"/>
      <c r="H34" s="21"/>
      <c r="I34" s="21"/>
      <c r="J34" s="21"/>
      <c r="K34" s="21"/>
      <c r="L34" s="21"/>
      <c r="M34" s="21"/>
      <c r="N34" s="21"/>
      <c r="O34" s="21"/>
    </row>
    <row r="35" spans="1:15" ht="12" thickBot="1">
      <c r="A35" s="8" t="s">
        <v>7</v>
      </c>
      <c r="B35" s="22">
        <f aca="true" t="shared" si="6" ref="B35:O35">+B31+B26+B21+B16+B8</f>
        <v>10980696.67</v>
      </c>
      <c r="C35" s="22">
        <f t="shared" si="6"/>
        <v>46169280.370000005</v>
      </c>
      <c r="D35" s="22">
        <f t="shared" si="6"/>
        <v>9320.56</v>
      </c>
      <c r="E35" s="22">
        <f t="shared" si="6"/>
        <v>107255.95999999999</v>
      </c>
      <c r="F35" s="22">
        <f t="shared" si="6"/>
        <v>5282642.7</v>
      </c>
      <c r="G35" s="22">
        <f t="shared" si="6"/>
        <v>6080331.59</v>
      </c>
      <c r="H35" s="22">
        <f t="shared" si="6"/>
        <v>3728217.1399999997</v>
      </c>
      <c r="I35" s="22">
        <f t="shared" si="6"/>
        <v>901972.66</v>
      </c>
      <c r="J35" s="22">
        <f t="shared" si="6"/>
        <v>3176377.6300000004</v>
      </c>
      <c r="K35" s="22">
        <f t="shared" si="6"/>
        <v>7459.59</v>
      </c>
      <c r="L35" s="22">
        <f t="shared" si="6"/>
        <v>2716904.53</v>
      </c>
      <c r="M35" s="22">
        <f t="shared" si="6"/>
        <v>107445.14</v>
      </c>
      <c r="N35" s="22">
        <f t="shared" si="6"/>
        <v>79267904.54000002</v>
      </c>
      <c r="O35" s="22">
        <f t="shared" si="6"/>
        <v>74665974</v>
      </c>
    </row>
    <row r="36" ht="12" thickTop="1"/>
    <row r="38" spans="2:4" ht="11.25">
      <c r="B38" s="27"/>
      <c r="C38" s="12"/>
      <c r="D38" s="12"/>
    </row>
    <row r="39" spans="1:10" ht="11.25">
      <c r="A39" s="8"/>
      <c r="J39" s="8"/>
    </row>
    <row r="41" spans="2:9" ht="11.25">
      <c r="B41" s="23"/>
      <c r="C41" s="23"/>
      <c r="D41" s="23"/>
      <c r="E41" s="23"/>
      <c r="F41" s="23"/>
      <c r="G41" s="23"/>
      <c r="H41" s="23"/>
      <c r="I41" s="23"/>
    </row>
    <row r="42" spans="2:9" ht="11.25">
      <c r="B42" s="23"/>
      <c r="C42" s="23"/>
      <c r="D42" s="23"/>
      <c r="E42" s="23"/>
      <c r="F42" s="23"/>
      <c r="G42" s="23"/>
      <c r="H42" s="23"/>
      <c r="I42" s="23"/>
    </row>
    <row r="43" spans="2:9" ht="11.25">
      <c r="B43" s="23"/>
      <c r="C43" s="23"/>
      <c r="D43" s="23"/>
      <c r="E43" s="23"/>
      <c r="F43" s="23"/>
      <c r="G43" s="23"/>
      <c r="H43" s="23"/>
      <c r="I43" s="23"/>
    </row>
    <row r="44" spans="2:15" ht="11.25">
      <c r="B44" s="23"/>
      <c r="C44" s="23"/>
      <c r="D44" s="23"/>
      <c r="E44" s="23"/>
      <c r="F44" s="23"/>
      <c r="G44" s="23"/>
      <c r="H44" s="23"/>
      <c r="I44" s="23"/>
      <c r="J44" s="23"/>
      <c r="K44" s="23"/>
      <c r="L44" s="23"/>
      <c r="M44" s="23"/>
      <c r="N44" s="23"/>
      <c r="O44" s="23"/>
    </row>
    <row r="45" spans="10:15" ht="11.25">
      <c r="J45" s="23"/>
      <c r="K45" s="23"/>
      <c r="L45" s="23"/>
      <c r="M45" s="23"/>
      <c r="N45" s="23"/>
      <c r="O45" s="23"/>
    </row>
    <row r="46" spans="10:15" ht="11.25">
      <c r="J46" s="23"/>
      <c r="K46" s="23"/>
      <c r="L46" s="23"/>
      <c r="M46" s="23"/>
      <c r="N46" s="23"/>
      <c r="O46" s="23"/>
    </row>
    <row r="47" spans="10:15" ht="11.25">
      <c r="J47" s="23"/>
      <c r="K47" s="8" t="s">
        <v>49</v>
      </c>
      <c r="N47" s="28" t="s">
        <v>50</v>
      </c>
      <c r="O47" s="28" t="s">
        <v>51</v>
      </c>
    </row>
    <row r="48" spans="10:15" ht="11.25">
      <c r="J48" s="23"/>
      <c r="K48" s="8"/>
      <c r="L48" s="2"/>
      <c r="M48" s="2"/>
      <c r="N48" s="28" t="s">
        <v>52</v>
      </c>
      <c r="O48" s="28" t="s">
        <v>53</v>
      </c>
    </row>
    <row r="49" spans="10:13" ht="11.25">
      <c r="J49" s="23"/>
      <c r="K49" s="2"/>
      <c r="L49" s="2"/>
      <c r="M49" s="2"/>
    </row>
    <row r="50" spans="10:15" ht="11.25">
      <c r="J50" s="23"/>
      <c r="K50" s="2" t="s">
        <v>69</v>
      </c>
      <c r="L50" s="12"/>
      <c r="M50" s="12"/>
      <c r="N50" s="19">
        <f>N9+N10+N11+N31-N59</f>
        <v>57930374.57000001</v>
      </c>
      <c r="O50" s="15">
        <v>92846227.55</v>
      </c>
    </row>
    <row r="51" spans="10:15" ht="11.25">
      <c r="J51" s="23"/>
      <c r="K51" s="2" t="s">
        <v>70</v>
      </c>
      <c r="L51" s="12"/>
      <c r="M51" s="12"/>
      <c r="N51" s="36">
        <f>N17+N18+N22+N23+N27+N28</f>
        <v>16273538.750000002</v>
      </c>
      <c r="O51" s="21">
        <v>16273540</v>
      </c>
    </row>
    <row r="52" spans="10:15" ht="11.25">
      <c r="J52" s="23"/>
      <c r="K52" s="2"/>
      <c r="L52" s="12"/>
      <c r="M52" s="12"/>
      <c r="N52" s="30"/>
      <c r="O52" s="23"/>
    </row>
    <row r="53" spans="10:15" ht="12" thickBot="1">
      <c r="J53" s="23"/>
      <c r="K53" s="2" t="s">
        <v>65</v>
      </c>
      <c r="L53" s="12"/>
      <c r="M53" s="12"/>
      <c r="N53" s="37">
        <f>N50+N51</f>
        <v>74203913.32000001</v>
      </c>
      <c r="O53" s="22">
        <f>O50+O51</f>
        <v>109119767.55</v>
      </c>
    </row>
    <row r="54" spans="10:15" ht="12" thickTop="1">
      <c r="J54" s="23"/>
      <c r="K54" s="2"/>
      <c r="L54" s="12"/>
      <c r="M54" s="12"/>
      <c r="N54" s="30"/>
      <c r="O54" s="23"/>
    </row>
    <row r="55" spans="10:15" ht="11.25">
      <c r="J55" s="23"/>
      <c r="K55" s="15" t="s">
        <v>35</v>
      </c>
      <c r="L55" s="2"/>
      <c r="M55" s="2"/>
      <c r="N55" s="19">
        <f>SUM(N12)</f>
        <v>10874.48</v>
      </c>
      <c r="O55" s="15">
        <f>SUM(N12)</f>
        <v>10874.48</v>
      </c>
    </row>
    <row r="56" spans="10:15" ht="11.25">
      <c r="J56" s="23"/>
      <c r="K56" s="15" t="s">
        <v>36</v>
      </c>
      <c r="L56" s="2"/>
      <c r="M56" s="2"/>
      <c r="N56" s="30">
        <f>SUM(N13)</f>
        <v>3104092.1700000004</v>
      </c>
      <c r="O56" s="23">
        <f>SUM(N13)</f>
        <v>3104092.1700000004</v>
      </c>
    </row>
    <row r="57" spans="10:15" ht="11.25">
      <c r="J57" s="23"/>
      <c r="K57" s="15" t="s">
        <v>38</v>
      </c>
      <c r="L57" s="2"/>
      <c r="M57" s="2"/>
      <c r="N57" s="30">
        <f>N29+N19+N24</f>
        <v>1643771.86</v>
      </c>
      <c r="O57" s="23">
        <f>N29+N19+N24</f>
        <v>1643771.86</v>
      </c>
    </row>
    <row r="58" spans="10:15" ht="11.25">
      <c r="J58" s="23"/>
      <c r="K58" s="15" t="s">
        <v>37</v>
      </c>
      <c r="L58" s="12"/>
      <c r="M58" s="12"/>
      <c r="N58" s="30">
        <f>SUM(N14)</f>
        <v>305252.71</v>
      </c>
      <c r="O58" s="30">
        <f>SUM(N14)</f>
        <v>305252.71</v>
      </c>
    </row>
    <row r="59" spans="10:15" ht="11.25">
      <c r="J59" s="23"/>
      <c r="K59" s="2" t="s">
        <v>78</v>
      </c>
      <c r="L59" s="12"/>
      <c r="M59" s="12"/>
      <c r="N59" s="30">
        <v>0</v>
      </c>
      <c r="O59" s="30">
        <v>0</v>
      </c>
    </row>
    <row r="60" spans="10:15" ht="11.25">
      <c r="J60" s="23"/>
      <c r="K60" s="2" t="s">
        <v>59</v>
      </c>
      <c r="L60" s="12"/>
      <c r="M60" s="12"/>
      <c r="N60" s="30">
        <v>0</v>
      </c>
      <c r="O60" s="30">
        <v>0</v>
      </c>
    </row>
    <row r="61" spans="10:15" ht="11.25">
      <c r="J61" s="23"/>
      <c r="K61" s="2" t="s">
        <v>78</v>
      </c>
      <c r="L61" s="12"/>
      <c r="M61" s="12"/>
      <c r="N61" s="30">
        <v>0</v>
      </c>
      <c r="O61" s="30">
        <v>-34916390</v>
      </c>
    </row>
    <row r="62" spans="10:15" ht="11.25">
      <c r="J62" s="23"/>
      <c r="K62" s="2" t="s">
        <v>60</v>
      </c>
      <c r="L62" s="12"/>
      <c r="M62" s="12"/>
      <c r="N62" s="21">
        <v>0</v>
      </c>
      <c r="O62" s="21">
        <v>537.02</v>
      </c>
    </row>
    <row r="63" spans="10:13" ht="11.25">
      <c r="J63" s="23"/>
      <c r="K63" s="2"/>
      <c r="L63" s="12"/>
      <c r="M63" s="12"/>
    </row>
    <row r="64" spans="10:15" ht="12" thickBot="1">
      <c r="J64" s="23"/>
      <c r="K64" s="2" t="s">
        <v>7</v>
      </c>
      <c r="L64" s="12"/>
      <c r="M64" s="12"/>
      <c r="N64" s="22">
        <f>SUM(N53:N62)</f>
        <v>79267904.54</v>
      </c>
      <c r="O64" s="22">
        <f>SUM(O53:O62)</f>
        <v>79267905.78999999</v>
      </c>
    </row>
    <row r="65" spans="10:15" ht="12" thickTop="1">
      <c r="J65" s="23"/>
      <c r="N65" s="15">
        <f>+N35-N64</f>
        <v>0</v>
      </c>
      <c r="O65" s="15">
        <f>N64-O64</f>
        <v>-1.2499999850988388</v>
      </c>
    </row>
    <row r="66" spans="11:15" ht="11.25">
      <c r="K66" s="23"/>
      <c r="L66" s="23"/>
      <c r="M66" s="23"/>
      <c r="N66" s="23"/>
      <c r="O66" s="23"/>
    </row>
  </sheetData>
  <sheetProtection/>
  <printOptions horizontalCentered="1" verticalCentered="1"/>
  <pageMargins left="0" right="0" top="0.5" bottom="0.5" header="0.25" footer="0.25"/>
  <pageSetup fitToHeight="1" fitToWidth="1" horizontalDpi="300" verticalDpi="300" orientation="landscape" scale="79" r:id="rId1"/>
  <headerFooter alignWithMargins="0">
    <oddHeader>&amp;L11/04/15
&amp;C&amp;F</oddHeader>
  </headerFooter>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78">
      <pane xSplit="1" topLeftCell="B1" activePane="topRight" state="frozen"/>
      <selection pane="topLeft" activeCell="A46" sqref="A46"/>
      <selection pane="topRight" activeCell="B89" sqref="B89"/>
    </sheetView>
  </sheetViews>
  <sheetFormatPr defaultColWidth="9.140625" defaultRowHeight="12.75" outlineLevelRow="1"/>
  <cols>
    <col min="1" max="1" width="19.00390625" style="44" customWidth="1"/>
    <col min="2" max="2" width="10.57421875" style="44" customWidth="1"/>
    <col min="3" max="3" width="9.8515625" style="44" bestFit="1" customWidth="1"/>
    <col min="4" max="4" width="10.57421875" style="44" customWidth="1"/>
    <col min="5" max="5" width="10.28125" style="44" customWidth="1"/>
    <col min="6" max="6" width="9.7109375" style="44" customWidth="1"/>
    <col min="7" max="7" width="10.57421875" style="44" customWidth="1"/>
    <col min="8" max="8" width="11.140625" style="44" customWidth="1"/>
    <col min="9" max="11" width="10.140625" style="44" customWidth="1"/>
    <col min="12" max="13" width="9.7109375" style="44" customWidth="1"/>
    <col min="14" max="14" width="11.7109375" style="44" customWidth="1"/>
    <col min="15" max="15" width="9.140625" style="47" customWidth="1"/>
    <col min="16" max="16384" width="9.140625" style="44" customWidth="1"/>
  </cols>
  <sheetData>
    <row r="1" spans="1:14" ht="11.25">
      <c r="A1" s="43" t="s">
        <v>76</v>
      </c>
      <c r="H1" s="45"/>
      <c r="N1" s="46" t="s">
        <v>79</v>
      </c>
    </row>
    <row r="2" ht="11.25">
      <c r="A2" s="43" t="s">
        <v>0</v>
      </c>
    </row>
    <row r="3" ht="11.25">
      <c r="L3" s="48"/>
    </row>
    <row r="4" spans="1:14" ht="11.25">
      <c r="A4" s="43" t="s">
        <v>80</v>
      </c>
      <c r="B4" s="49"/>
      <c r="C4" s="49"/>
      <c r="D4" s="49"/>
      <c r="E4" s="49"/>
      <c r="F4" s="49"/>
      <c r="G4" s="49"/>
      <c r="H4" s="49" t="s">
        <v>1</v>
      </c>
      <c r="I4" s="49"/>
      <c r="J4" s="49"/>
      <c r="K4" s="49"/>
      <c r="L4" s="50" t="s">
        <v>29</v>
      </c>
      <c r="M4" s="49"/>
      <c r="N4" s="49" t="s">
        <v>97</v>
      </c>
    </row>
    <row r="5" spans="2:14" ht="11.25">
      <c r="B5" s="49" t="s">
        <v>2</v>
      </c>
      <c r="C5" s="49"/>
      <c r="D5" s="49" t="s">
        <v>3</v>
      </c>
      <c r="E5" s="49"/>
      <c r="F5" s="49"/>
      <c r="G5" s="49"/>
      <c r="H5" s="49" t="s">
        <v>4</v>
      </c>
      <c r="I5" s="49"/>
      <c r="J5" s="49" t="s">
        <v>5</v>
      </c>
      <c r="K5" s="49" t="s">
        <v>6</v>
      </c>
      <c r="L5" s="50" t="s">
        <v>30</v>
      </c>
      <c r="M5" s="49"/>
      <c r="N5" s="49" t="s">
        <v>7</v>
      </c>
    </row>
    <row r="6" spans="2:14" ht="11.25">
      <c r="B6" s="51" t="s">
        <v>8</v>
      </c>
      <c r="C6" s="51" t="s">
        <v>9</v>
      </c>
      <c r="D6" s="51" t="s">
        <v>10</v>
      </c>
      <c r="E6" s="51" t="s">
        <v>11</v>
      </c>
      <c r="F6" s="51" t="s">
        <v>12</v>
      </c>
      <c r="G6" s="51" t="s">
        <v>13</v>
      </c>
      <c r="H6" s="51" t="s">
        <v>10</v>
      </c>
      <c r="I6" s="51" t="s">
        <v>14</v>
      </c>
      <c r="J6" s="51" t="s">
        <v>15</v>
      </c>
      <c r="K6" s="51" t="s">
        <v>16</v>
      </c>
      <c r="L6" s="52" t="s">
        <v>10</v>
      </c>
      <c r="M6" s="51" t="s">
        <v>26</v>
      </c>
      <c r="N6" s="51" t="s">
        <v>8</v>
      </c>
    </row>
    <row r="7" spans="1:14" ht="11.25">
      <c r="A7" s="43" t="s">
        <v>25</v>
      </c>
      <c r="B7" s="44">
        <f aca="true" t="shared" si="0" ref="B7:M7">SUM(B8:B10)</f>
        <v>111443.25</v>
      </c>
      <c r="C7" s="44">
        <f t="shared" si="0"/>
        <v>1794372.54</v>
      </c>
      <c r="D7" s="44">
        <f t="shared" si="0"/>
        <v>129463.86</v>
      </c>
      <c r="E7" s="44">
        <f t="shared" si="0"/>
        <v>0</v>
      </c>
      <c r="F7" s="44">
        <f t="shared" si="0"/>
        <v>16312.08</v>
      </c>
      <c r="G7" s="44">
        <f t="shared" si="0"/>
        <v>1062815.01</v>
      </c>
      <c r="H7" s="44">
        <f t="shared" si="0"/>
        <v>232.35</v>
      </c>
      <c r="I7" s="44">
        <f t="shared" si="0"/>
        <v>699193.14</v>
      </c>
      <c r="J7" s="44">
        <f t="shared" si="0"/>
        <v>2490401.55</v>
      </c>
      <c r="K7" s="44">
        <f t="shared" si="0"/>
        <v>0</v>
      </c>
      <c r="L7" s="44">
        <f t="shared" si="0"/>
        <v>0</v>
      </c>
      <c r="M7" s="44">
        <f t="shared" si="0"/>
        <v>0</v>
      </c>
      <c r="N7" s="44">
        <f>SUM(B7:M7)</f>
        <v>6304233.78</v>
      </c>
    </row>
    <row r="8" spans="1:15" s="53" customFormat="1" ht="11.25" outlineLevel="1">
      <c r="A8" s="53" t="s">
        <v>82</v>
      </c>
      <c r="B8" s="53">
        <f>B32+B56+B79</f>
        <v>0</v>
      </c>
      <c r="C8" s="53">
        <f aca="true" t="shared" si="1" ref="C8:M8">C32+C56+C79</f>
        <v>1794372.54</v>
      </c>
      <c r="D8" s="53">
        <f t="shared" si="1"/>
        <v>69463.86</v>
      </c>
      <c r="E8" s="53">
        <f t="shared" si="1"/>
        <v>0</v>
      </c>
      <c r="F8" s="53">
        <f t="shared" si="1"/>
        <v>0</v>
      </c>
      <c r="G8" s="53">
        <f t="shared" si="1"/>
        <v>135022</v>
      </c>
      <c r="H8" s="53">
        <f t="shared" si="1"/>
        <v>0</v>
      </c>
      <c r="I8" s="53">
        <f t="shared" si="1"/>
        <v>319548.6</v>
      </c>
      <c r="J8" s="53">
        <f t="shared" si="1"/>
        <v>1944598.94</v>
      </c>
      <c r="K8" s="53">
        <f t="shared" si="1"/>
        <v>0</v>
      </c>
      <c r="L8" s="53">
        <f t="shared" si="1"/>
        <v>0</v>
      </c>
      <c r="M8" s="53">
        <f t="shared" si="1"/>
        <v>0</v>
      </c>
      <c r="N8" s="44">
        <f>SUM(B8:M8)</f>
        <v>4263005.9399999995</v>
      </c>
      <c r="O8" s="54"/>
    </row>
    <row r="9" spans="1:15" s="53" customFormat="1" ht="11.25" outlineLevel="1">
      <c r="A9" s="53" t="s">
        <v>83</v>
      </c>
      <c r="B9" s="53">
        <f aca="true" t="shared" si="2" ref="B9:M10">B33+B57+B80</f>
        <v>111443.25</v>
      </c>
      <c r="C9" s="53">
        <f t="shared" si="2"/>
        <v>0</v>
      </c>
      <c r="D9" s="53">
        <f t="shared" si="2"/>
        <v>60000</v>
      </c>
      <c r="E9" s="53">
        <f t="shared" si="2"/>
        <v>0</v>
      </c>
      <c r="F9" s="53">
        <f t="shared" si="2"/>
        <v>16312.08</v>
      </c>
      <c r="G9" s="53">
        <f t="shared" si="2"/>
        <v>649832.36</v>
      </c>
      <c r="H9" s="53">
        <f t="shared" si="2"/>
        <v>232.35</v>
      </c>
      <c r="I9" s="53">
        <f t="shared" si="2"/>
        <v>250562.94</v>
      </c>
      <c r="J9" s="53">
        <f t="shared" si="2"/>
        <v>545802.61</v>
      </c>
      <c r="K9" s="53">
        <f t="shared" si="2"/>
        <v>0</v>
      </c>
      <c r="L9" s="53">
        <f t="shared" si="2"/>
        <v>0</v>
      </c>
      <c r="M9" s="53">
        <f t="shared" si="2"/>
        <v>0</v>
      </c>
      <c r="N9" s="44">
        <f>SUM(B9:M9)</f>
        <v>1634185.5899999999</v>
      </c>
      <c r="O9" s="54"/>
    </row>
    <row r="10" spans="1:15" s="53" customFormat="1" ht="11.25" outlineLevel="1">
      <c r="A10" s="53" t="s">
        <v>84</v>
      </c>
      <c r="B10" s="53">
        <f t="shared" si="2"/>
        <v>0</v>
      </c>
      <c r="C10" s="53">
        <f t="shared" si="2"/>
        <v>0</v>
      </c>
      <c r="D10" s="53">
        <f t="shared" si="2"/>
        <v>0</v>
      </c>
      <c r="E10" s="53">
        <f t="shared" si="2"/>
        <v>0</v>
      </c>
      <c r="F10" s="53">
        <f t="shared" si="2"/>
        <v>0</v>
      </c>
      <c r="G10" s="53">
        <f t="shared" si="2"/>
        <v>277960.65</v>
      </c>
      <c r="H10" s="53">
        <f t="shared" si="2"/>
        <v>0</v>
      </c>
      <c r="I10" s="53">
        <f t="shared" si="2"/>
        <v>129081.6</v>
      </c>
      <c r="J10" s="53">
        <f t="shared" si="2"/>
        <v>0</v>
      </c>
      <c r="K10" s="53">
        <f t="shared" si="2"/>
        <v>0</v>
      </c>
      <c r="L10" s="53">
        <f t="shared" si="2"/>
        <v>0</v>
      </c>
      <c r="M10" s="53">
        <f t="shared" si="2"/>
        <v>0</v>
      </c>
      <c r="N10" s="44">
        <f>SUM(B10:M10)</f>
        <v>407042.25</v>
      </c>
      <c r="O10" s="54"/>
    </row>
    <row r="12" spans="1:14" ht="11.25">
      <c r="A12" s="43" t="s">
        <v>23</v>
      </c>
      <c r="B12" s="44">
        <f>SUM(B13:B13)</f>
        <v>0</v>
      </c>
      <c r="C12" s="44">
        <f>SUM(C13:C14)</f>
        <v>0</v>
      </c>
      <c r="D12" s="44">
        <f>SUM(D13:D13)</f>
        <v>0</v>
      </c>
      <c r="E12" s="44">
        <f>SUM(E13:E13)</f>
        <v>0</v>
      </c>
      <c r="F12" s="44">
        <f>SUM(F13:F13)</f>
        <v>0</v>
      </c>
      <c r="G12" s="44">
        <f>SUM(G13:G14)</f>
        <v>0</v>
      </c>
      <c r="H12" s="44">
        <f>SUM(H13:H13)</f>
        <v>0</v>
      </c>
      <c r="I12" s="44">
        <f>SUM(I13:I14)</f>
        <v>0</v>
      </c>
      <c r="J12" s="44">
        <f>SUM(J13:J13)</f>
        <v>78741.06</v>
      </c>
      <c r="K12" s="44">
        <f>SUM(K13:K13)</f>
        <v>0</v>
      </c>
      <c r="L12" s="44">
        <f>SUM(L13:L14)</f>
        <v>0</v>
      </c>
      <c r="M12" s="44">
        <f>SUM(M13:M13)</f>
        <v>0</v>
      </c>
      <c r="N12" s="44">
        <f>SUM(B12:M12)</f>
        <v>78741.06</v>
      </c>
    </row>
    <row r="13" spans="1:15" s="53" customFormat="1" ht="11.25" outlineLevel="1">
      <c r="A13" s="53" t="s">
        <v>82</v>
      </c>
      <c r="B13" s="53">
        <f aca="true" t="shared" si="3" ref="B13:M15">B37+B61+B84</f>
        <v>0</v>
      </c>
      <c r="C13" s="53">
        <f t="shared" si="3"/>
        <v>0</v>
      </c>
      <c r="D13" s="53">
        <f t="shared" si="3"/>
        <v>0</v>
      </c>
      <c r="E13" s="53">
        <f t="shared" si="3"/>
        <v>0</v>
      </c>
      <c r="F13" s="53">
        <f t="shared" si="3"/>
        <v>0</v>
      </c>
      <c r="G13" s="53">
        <f t="shared" si="3"/>
        <v>0</v>
      </c>
      <c r="H13" s="53">
        <f t="shared" si="3"/>
        <v>0</v>
      </c>
      <c r="I13" s="53">
        <f t="shared" si="3"/>
        <v>0</v>
      </c>
      <c r="J13" s="53">
        <f t="shared" si="3"/>
        <v>78741.06</v>
      </c>
      <c r="K13" s="53">
        <f t="shared" si="3"/>
        <v>0</v>
      </c>
      <c r="L13" s="53">
        <f t="shared" si="3"/>
        <v>0</v>
      </c>
      <c r="M13" s="53">
        <f t="shared" si="3"/>
        <v>0</v>
      </c>
      <c r="N13" s="44">
        <f>SUM(B13:M13)</f>
        <v>78741.06</v>
      </c>
      <c r="O13" s="54"/>
    </row>
    <row r="14" spans="1:15" s="53" customFormat="1" ht="11.25" outlineLevel="1">
      <c r="A14" s="53" t="s">
        <v>84</v>
      </c>
      <c r="B14" s="53">
        <f t="shared" si="3"/>
        <v>0</v>
      </c>
      <c r="C14" s="53">
        <f t="shared" si="3"/>
        <v>0</v>
      </c>
      <c r="D14" s="53">
        <f t="shared" si="3"/>
        <v>0</v>
      </c>
      <c r="E14" s="53">
        <f t="shared" si="3"/>
        <v>0</v>
      </c>
      <c r="F14" s="53">
        <f t="shared" si="3"/>
        <v>0</v>
      </c>
      <c r="G14" s="53">
        <f t="shared" si="3"/>
        <v>0</v>
      </c>
      <c r="H14" s="53">
        <f t="shared" si="3"/>
        <v>0</v>
      </c>
      <c r="I14" s="53">
        <f t="shared" si="3"/>
        <v>0</v>
      </c>
      <c r="J14" s="53">
        <f t="shared" si="3"/>
        <v>0</v>
      </c>
      <c r="K14" s="53">
        <f t="shared" si="3"/>
        <v>0</v>
      </c>
      <c r="L14" s="53">
        <f t="shared" si="3"/>
        <v>0</v>
      </c>
      <c r="M14" s="53">
        <f t="shared" si="3"/>
        <v>0</v>
      </c>
      <c r="N14" s="44">
        <f>SUM(B14:M14)</f>
        <v>0</v>
      </c>
      <c r="O14" s="54"/>
    </row>
    <row r="15" spans="1:15" s="53" customFormat="1" ht="11.25" outlineLevel="1">
      <c r="A15" s="53" t="s">
        <v>85</v>
      </c>
      <c r="B15" s="53">
        <f t="shared" si="3"/>
        <v>0</v>
      </c>
      <c r="C15" s="53">
        <f t="shared" si="3"/>
        <v>0</v>
      </c>
      <c r="D15" s="53">
        <f t="shared" si="3"/>
        <v>0</v>
      </c>
      <c r="E15" s="53">
        <f t="shared" si="3"/>
        <v>0</v>
      </c>
      <c r="F15" s="53">
        <f t="shared" si="3"/>
        <v>0</v>
      </c>
      <c r="G15" s="53">
        <f t="shared" si="3"/>
        <v>0</v>
      </c>
      <c r="H15" s="53">
        <f t="shared" si="3"/>
        <v>0</v>
      </c>
      <c r="I15" s="53">
        <f t="shared" si="3"/>
        <v>0</v>
      </c>
      <c r="J15" s="53">
        <f t="shared" si="3"/>
        <v>0</v>
      </c>
      <c r="K15" s="53">
        <f t="shared" si="3"/>
        <v>0</v>
      </c>
      <c r="L15" s="53">
        <f t="shared" si="3"/>
        <v>0</v>
      </c>
      <c r="M15" s="53">
        <f t="shared" si="3"/>
        <v>0</v>
      </c>
      <c r="N15" s="44">
        <f>SUM(B15:M15)</f>
        <v>0</v>
      </c>
      <c r="O15" s="54"/>
    </row>
    <row r="17" spans="1:14" ht="11.25">
      <c r="A17" s="43" t="s">
        <v>24</v>
      </c>
      <c r="B17" s="44">
        <f aca="true" t="shared" si="4" ref="B17:M17">SUM(B18:B19)</f>
        <v>1831169.61</v>
      </c>
      <c r="C17" s="44">
        <f t="shared" si="4"/>
        <v>297268.23</v>
      </c>
      <c r="D17" s="44">
        <f t="shared" si="4"/>
        <v>1177.64</v>
      </c>
      <c r="E17" s="44">
        <f t="shared" si="4"/>
        <v>0</v>
      </c>
      <c r="F17" s="44">
        <f t="shared" si="4"/>
        <v>449415</v>
      </c>
      <c r="G17" s="44">
        <f t="shared" si="4"/>
        <v>2446168.08</v>
      </c>
      <c r="H17" s="44">
        <f t="shared" si="4"/>
        <v>0</v>
      </c>
      <c r="I17" s="44">
        <f t="shared" si="4"/>
        <v>2845557.51</v>
      </c>
      <c r="J17" s="44">
        <f t="shared" si="4"/>
        <v>32721</v>
      </c>
      <c r="K17" s="44">
        <f t="shared" si="4"/>
        <v>0</v>
      </c>
      <c r="L17" s="44">
        <f t="shared" si="4"/>
        <v>0</v>
      </c>
      <c r="M17" s="44">
        <f t="shared" si="4"/>
        <v>0</v>
      </c>
      <c r="N17" s="44">
        <f>SUM(B17:M17)</f>
        <v>7903477.07</v>
      </c>
    </row>
    <row r="18" spans="1:15" s="53" customFormat="1" ht="11.25" outlineLevel="1">
      <c r="A18" s="53" t="s">
        <v>82</v>
      </c>
      <c r="B18" s="53">
        <f>B42+B65+B88</f>
        <v>1831169.61</v>
      </c>
      <c r="C18" s="53">
        <f aca="true" t="shared" si="5" ref="C18:M19">C42+C65+C88</f>
        <v>297268.23</v>
      </c>
      <c r="D18" s="53">
        <f t="shared" si="5"/>
        <v>1177.64</v>
      </c>
      <c r="E18" s="53">
        <f t="shared" si="5"/>
        <v>0</v>
      </c>
      <c r="F18" s="53">
        <f t="shared" si="5"/>
        <v>449415</v>
      </c>
      <c r="G18" s="53">
        <f t="shared" si="5"/>
        <v>2446168.08</v>
      </c>
      <c r="H18" s="53">
        <f t="shared" si="5"/>
        <v>0</v>
      </c>
      <c r="I18" s="53">
        <f t="shared" si="5"/>
        <v>2845557.51</v>
      </c>
      <c r="J18" s="53">
        <f t="shared" si="5"/>
        <v>32721</v>
      </c>
      <c r="K18" s="53">
        <f t="shared" si="5"/>
        <v>0</v>
      </c>
      <c r="L18" s="53">
        <f t="shared" si="5"/>
        <v>0</v>
      </c>
      <c r="M18" s="53">
        <f t="shared" si="5"/>
        <v>0</v>
      </c>
      <c r="N18" s="44">
        <f>SUM(B18:M18)</f>
        <v>7903477.07</v>
      </c>
      <c r="O18" s="54"/>
    </row>
    <row r="19" spans="1:15" s="53" customFormat="1" ht="11.25" outlineLevel="1">
      <c r="A19" s="53" t="s">
        <v>84</v>
      </c>
      <c r="B19" s="53">
        <f>B43+B66+B89</f>
        <v>0</v>
      </c>
      <c r="C19" s="53">
        <f t="shared" si="5"/>
        <v>0</v>
      </c>
      <c r="D19" s="53">
        <f t="shared" si="5"/>
        <v>0</v>
      </c>
      <c r="E19" s="53">
        <f t="shared" si="5"/>
        <v>0</v>
      </c>
      <c r="F19" s="53">
        <f t="shared" si="5"/>
        <v>0</v>
      </c>
      <c r="G19" s="53">
        <f t="shared" si="5"/>
        <v>0</v>
      </c>
      <c r="H19" s="53">
        <f t="shared" si="5"/>
        <v>0</v>
      </c>
      <c r="I19" s="53">
        <f t="shared" si="5"/>
        <v>0</v>
      </c>
      <c r="J19" s="53">
        <f t="shared" si="5"/>
        <v>0</v>
      </c>
      <c r="K19" s="53">
        <f t="shared" si="5"/>
        <v>0</v>
      </c>
      <c r="L19" s="53">
        <f t="shared" si="5"/>
        <v>0</v>
      </c>
      <c r="M19" s="53">
        <f t="shared" si="5"/>
        <v>0</v>
      </c>
      <c r="N19" s="44">
        <f>SUM(B19:M19)</f>
        <v>0</v>
      </c>
      <c r="O19" s="54"/>
    </row>
    <row r="20" spans="2:14" ht="11.25">
      <c r="B20" s="55"/>
      <c r="C20" s="55"/>
      <c r="D20" s="55"/>
      <c r="E20" s="55"/>
      <c r="F20" s="55"/>
      <c r="G20" s="55"/>
      <c r="H20" s="55"/>
      <c r="I20" s="55"/>
      <c r="J20" s="55"/>
      <c r="K20" s="55"/>
      <c r="L20" s="55"/>
      <c r="M20" s="55"/>
      <c r="N20" s="55"/>
    </row>
    <row r="21" spans="1:14" ht="12" thickBot="1">
      <c r="A21" s="43" t="s">
        <v>7</v>
      </c>
      <c r="B21" s="56">
        <f aca="true" t="shared" si="6" ref="B21:M21">B17+B12+B7</f>
        <v>1942612.86</v>
      </c>
      <c r="C21" s="56">
        <f t="shared" si="6"/>
        <v>2091640.77</v>
      </c>
      <c r="D21" s="56">
        <f t="shared" si="6"/>
        <v>130641.5</v>
      </c>
      <c r="E21" s="56">
        <f t="shared" si="6"/>
        <v>0</v>
      </c>
      <c r="F21" s="56">
        <f t="shared" si="6"/>
        <v>465727.08</v>
      </c>
      <c r="G21" s="56">
        <f t="shared" si="6"/>
        <v>3508983.09</v>
      </c>
      <c r="H21" s="56">
        <f t="shared" si="6"/>
        <v>232.35</v>
      </c>
      <c r="I21" s="56">
        <f t="shared" si="6"/>
        <v>3544750.65</v>
      </c>
      <c r="J21" s="56">
        <f t="shared" si="6"/>
        <v>2601863.61</v>
      </c>
      <c r="K21" s="56">
        <f t="shared" si="6"/>
        <v>0</v>
      </c>
      <c r="L21" s="56">
        <f t="shared" si="6"/>
        <v>0</v>
      </c>
      <c r="M21" s="56">
        <f t="shared" si="6"/>
        <v>0</v>
      </c>
      <c r="N21" s="57">
        <f>SUM(B21:M21)</f>
        <v>14286451.909999998</v>
      </c>
    </row>
    <row r="22" ht="12" thickTop="1"/>
    <row r="24" ht="11.25">
      <c r="A24" s="43"/>
    </row>
    <row r="25" spans="1:14" ht="11.25">
      <c r="A25" s="43" t="s">
        <v>76</v>
      </c>
      <c r="H25" s="45"/>
      <c r="N25" s="46" t="s">
        <v>86</v>
      </c>
    </row>
    <row r="26" ht="11.25">
      <c r="A26" s="43" t="s">
        <v>87</v>
      </c>
    </row>
    <row r="27" ht="11.25">
      <c r="L27" s="48"/>
    </row>
    <row r="28" spans="1:14" ht="11.25">
      <c r="A28" s="43" t="s">
        <v>88</v>
      </c>
      <c r="B28" s="49"/>
      <c r="C28" s="49"/>
      <c r="D28" s="49"/>
      <c r="E28" s="49"/>
      <c r="F28" s="49"/>
      <c r="G28" s="49"/>
      <c r="H28" s="49" t="s">
        <v>1</v>
      </c>
      <c r="I28" s="49"/>
      <c r="J28" s="49"/>
      <c r="K28" s="49"/>
      <c r="L28" s="50" t="s">
        <v>29</v>
      </c>
      <c r="M28" s="49"/>
      <c r="N28" s="49" t="s">
        <v>97</v>
      </c>
    </row>
    <row r="29" spans="2:14" ht="11.25">
      <c r="B29" s="49" t="s">
        <v>2</v>
      </c>
      <c r="C29" s="49"/>
      <c r="D29" s="49" t="s">
        <v>3</v>
      </c>
      <c r="E29" s="49"/>
      <c r="F29" s="49"/>
      <c r="G29" s="49"/>
      <c r="H29" s="49" t="s">
        <v>4</v>
      </c>
      <c r="I29" s="49"/>
      <c r="J29" s="49" t="s">
        <v>5</v>
      </c>
      <c r="K29" s="49" t="s">
        <v>6</v>
      </c>
      <c r="L29" s="50" t="s">
        <v>30</v>
      </c>
      <c r="M29" s="49"/>
      <c r="N29" s="49" t="s">
        <v>7</v>
      </c>
    </row>
    <row r="30" spans="2:14" ht="11.25">
      <c r="B30" s="51" t="s">
        <v>8</v>
      </c>
      <c r="C30" s="51" t="s">
        <v>9</v>
      </c>
      <c r="D30" s="51" t="s">
        <v>10</v>
      </c>
      <c r="E30" s="51" t="s">
        <v>11</v>
      </c>
      <c r="F30" s="51" t="s">
        <v>12</v>
      </c>
      <c r="G30" s="51" t="s">
        <v>13</v>
      </c>
      <c r="H30" s="51" t="s">
        <v>10</v>
      </c>
      <c r="I30" s="51" t="s">
        <v>14</v>
      </c>
      <c r="J30" s="51" t="s">
        <v>15</v>
      </c>
      <c r="K30" s="51" t="s">
        <v>16</v>
      </c>
      <c r="L30" s="52" t="s">
        <v>10</v>
      </c>
      <c r="M30" s="51" t="s">
        <v>26</v>
      </c>
      <c r="N30" s="51" t="s">
        <v>8</v>
      </c>
    </row>
    <row r="31" spans="1:14" ht="11.25">
      <c r="A31" s="43" t="s">
        <v>25</v>
      </c>
      <c r="B31" s="44">
        <f aca="true" t="shared" si="7" ref="B31:M31">SUM(B32:B34)</f>
        <v>111443.25</v>
      </c>
      <c r="C31" s="44">
        <f t="shared" si="7"/>
        <v>1402016.74</v>
      </c>
      <c r="D31" s="44">
        <f t="shared" si="7"/>
        <v>60000</v>
      </c>
      <c r="E31" s="44">
        <f t="shared" si="7"/>
        <v>0</v>
      </c>
      <c r="F31" s="44">
        <f t="shared" si="7"/>
        <v>16312.08</v>
      </c>
      <c r="G31" s="44">
        <f t="shared" si="7"/>
        <v>928772.23</v>
      </c>
      <c r="H31" s="44">
        <f t="shared" si="7"/>
        <v>232.35</v>
      </c>
      <c r="I31" s="44">
        <f t="shared" si="7"/>
        <v>0</v>
      </c>
      <c r="J31" s="44">
        <f t="shared" si="7"/>
        <v>567178.9299999999</v>
      </c>
      <c r="K31" s="44">
        <f t="shared" si="7"/>
        <v>0</v>
      </c>
      <c r="L31" s="44">
        <f t="shared" si="7"/>
        <v>0</v>
      </c>
      <c r="M31" s="44">
        <f t="shared" si="7"/>
        <v>0</v>
      </c>
      <c r="N31" s="44">
        <f>SUM(B31:M31)</f>
        <v>3085955.58</v>
      </c>
    </row>
    <row r="32" spans="1:15" s="53" customFormat="1" ht="11.25" outlineLevel="1">
      <c r="A32" s="53" t="s">
        <v>82</v>
      </c>
      <c r="C32" s="53">
        <v>1402016.74</v>
      </c>
      <c r="G32" s="53">
        <f>10500+6226</f>
        <v>16726</v>
      </c>
      <c r="J32" s="53">
        <f>31446.94+8615</f>
        <v>40061.94</v>
      </c>
      <c r="N32" s="44">
        <f>SUM(B32:M32)</f>
        <v>1458804.68</v>
      </c>
      <c r="O32" s="54"/>
    </row>
    <row r="33" spans="1:15" s="53" customFormat="1" ht="11.25" outlineLevel="1">
      <c r="A33" s="53" t="s">
        <v>83</v>
      </c>
      <c r="B33" s="53">
        <v>111443.25</v>
      </c>
      <c r="D33" s="53">
        <v>60000</v>
      </c>
      <c r="F33" s="53">
        <v>16312.08</v>
      </c>
      <c r="G33" s="53">
        <v>634085.58</v>
      </c>
      <c r="H33" s="53">
        <v>232.35</v>
      </c>
      <c r="J33" s="53">
        <v>527116.99</v>
      </c>
      <c r="N33" s="44">
        <f>SUM(B33:M33)</f>
        <v>1349190.25</v>
      </c>
      <c r="O33" s="54"/>
    </row>
    <row r="34" spans="1:15" s="53" customFormat="1" ht="11.25" outlineLevel="1">
      <c r="A34" s="53" t="s">
        <v>84</v>
      </c>
      <c r="G34" s="53">
        <v>277960.65</v>
      </c>
      <c r="N34" s="44">
        <f>SUM(B34:M34)</f>
        <v>277960.65</v>
      </c>
      <c r="O34" s="54"/>
    </row>
    <row r="36" spans="1:14" ht="11.25">
      <c r="A36" s="43" t="s">
        <v>23</v>
      </c>
      <c r="B36" s="44">
        <f>SUM(B37:B37)</f>
        <v>0</v>
      </c>
      <c r="C36" s="44">
        <f>SUM(C37:C38)</f>
        <v>0</v>
      </c>
      <c r="D36" s="44">
        <f>SUM(D37:D37)</f>
        <v>0</v>
      </c>
      <c r="E36" s="44">
        <f>SUM(E37:E37)</f>
        <v>0</v>
      </c>
      <c r="F36" s="44">
        <f>SUM(F37:F37)</f>
        <v>0</v>
      </c>
      <c r="G36" s="44">
        <f>SUM(G37:G38)</f>
        <v>0</v>
      </c>
      <c r="H36" s="44">
        <f aca="true" t="shared" si="8" ref="H36:M36">SUM(H37:H37)</f>
        <v>0</v>
      </c>
      <c r="I36" s="44">
        <f t="shared" si="8"/>
        <v>0</v>
      </c>
      <c r="J36" s="44">
        <f t="shared" si="8"/>
        <v>78741.06</v>
      </c>
      <c r="K36" s="44">
        <f t="shared" si="8"/>
        <v>0</v>
      </c>
      <c r="L36" s="44">
        <f t="shared" si="8"/>
        <v>0</v>
      </c>
      <c r="M36" s="44">
        <f t="shared" si="8"/>
        <v>0</v>
      </c>
      <c r="N36" s="44">
        <f>SUM(B36:M36)</f>
        <v>78741.06</v>
      </c>
    </row>
    <row r="37" spans="1:15" s="53" customFormat="1" ht="11.25" outlineLevel="1">
      <c r="A37" s="53" t="s">
        <v>82</v>
      </c>
      <c r="J37" s="53">
        <v>78741.06</v>
      </c>
      <c r="N37" s="44">
        <f>SUM(B37:M37)</f>
        <v>78741.06</v>
      </c>
      <c r="O37" s="54"/>
    </row>
    <row r="38" spans="1:15" s="53" customFormat="1" ht="11.25" outlineLevel="1">
      <c r="A38" s="53" t="s">
        <v>84</v>
      </c>
      <c r="N38" s="44">
        <f>SUM(B38:M38)</f>
        <v>0</v>
      </c>
      <c r="O38" s="54"/>
    </row>
    <row r="39" spans="1:15" s="53" customFormat="1" ht="11.25" outlineLevel="1">
      <c r="A39" s="53" t="s">
        <v>85</v>
      </c>
      <c r="N39" s="44">
        <f>SUM(B39:M39)</f>
        <v>0</v>
      </c>
      <c r="O39" s="54"/>
    </row>
    <row r="41" spans="1:14" ht="11.25">
      <c r="A41" s="43" t="s">
        <v>24</v>
      </c>
      <c r="B41" s="44">
        <f aca="true" t="shared" si="9" ref="B41:M41">SUM(B42:B43)</f>
        <v>0</v>
      </c>
      <c r="C41" s="44">
        <f t="shared" si="9"/>
        <v>227858.35</v>
      </c>
      <c r="D41" s="44">
        <f t="shared" si="9"/>
        <v>0</v>
      </c>
      <c r="E41" s="44">
        <f t="shared" si="9"/>
        <v>0</v>
      </c>
      <c r="F41" s="44">
        <f t="shared" si="9"/>
        <v>0</v>
      </c>
      <c r="G41" s="44">
        <f t="shared" si="9"/>
        <v>440157</v>
      </c>
      <c r="H41" s="44">
        <f t="shared" si="9"/>
        <v>0</v>
      </c>
      <c r="I41" s="44">
        <f t="shared" si="9"/>
        <v>0</v>
      </c>
      <c r="J41" s="44">
        <f t="shared" si="9"/>
        <v>10798</v>
      </c>
      <c r="K41" s="44">
        <f t="shared" si="9"/>
        <v>0</v>
      </c>
      <c r="L41" s="44">
        <f t="shared" si="9"/>
        <v>0</v>
      </c>
      <c r="M41" s="44">
        <f t="shared" si="9"/>
        <v>0</v>
      </c>
      <c r="N41" s="44">
        <f>SUM(B41:M41)</f>
        <v>678813.35</v>
      </c>
    </row>
    <row r="42" spans="1:15" s="53" customFormat="1" ht="11.25" outlineLevel="1">
      <c r="A42" s="53" t="s">
        <v>82</v>
      </c>
      <c r="C42" s="53">
        <v>227858.35</v>
      </c>
      <c r="G42" s="53">
        <f>8389+64699+367069</f>
        <v>440157</v>
      </c>
      <c r="J42" s="53">
        <f>7357+3441</f>
        <v>10798</v>
      </c>
      <c r="N42" s="44">
        <f>SUM(B42:M42)</f>
        <v>678813.35</v>
      </c>
      <c r="O42" s="54"/>
    </row>
    <row r="43" spans="1:15" s="53" customFormat="1" ht="11.25" outlineLevel="1">
      <c r="A43" s="53" t="s">
        <v>84</v>
      </c>
      <c r="N43" s="44">
        <f>SUM(B43:M43)</f>
        <v>0</v>
      </c>
      <c r="O43" s="54"/>
    </row>
    <row r="44" spans="2:14" ht="11.25">
      <c r="B44" s="55"/>
      <c r="C44" s="55"/>
      <c r="D44" s="55"/>
      <c r="E44" s="55"/>
      <c r="F44" s="55"/>
      <c r="G44" s="55"/>
      <c r="H44" s="55"/>
      <c r="I44" s="55"/>
      <c r="J44" s="55"/>
      <c r="K44" s="55"/>
      <c r="L44" s="55"/>
      <c r="M44" s="55"/>
      <c r="N44" s="55"/>
    </row>
    <row r="45" spans="1:14" ht="12" thickBot="1">
      <c r="A45" s="43" t="s">
        <v>7</v>
      </c>
      <c r="B45" s="56">
        <f aca="true" t="shared" si="10" ref="B45:M45">B41+B36+B31</f>
        <v>111443.25</v>
      </c>
      <c r="C45" s="56">
        <f t="shared" si="10"/>
        <v>1629875.09</v>
      </c>
      <c r="D45" s="56">
        <f t="shared" si="10"/>
        <v>60000</v>
      </c>
      <c r="E45" s="56">
        <f t="shared" si="10"/>
        <v>0</v>
      </c>
      <c r="F45" s="56">
        <f t="shared" si="10"/>
        <v>16312.08</v>
      </c>
      <c r="G45" s="56">
        <f t="shared" si="10"/>
        <v>1368929.23</v>
      </c>
      <c r="H45" s="56">
        <f t="shared" si="10"/>
        <v>232.35</v>
      </c>
      <c r="I45" s="56">
        <f t="shared" si="10"/>
        <v>0</v>
      </c>
      <c r="J45" s="56">
        <f t="shared" si="10"/>
        <v>656717.99</v>
      </c>
      <c r="K45" s="56">
        <f t="shared" si="10"/>
        <v>0</v>
      </c>
      <c r="L45" s="56">
        <f t="shared" si="10"/>
        <v>0</v>
      </c>
      <c r="M45" s="56">
        <f t="shared" si="10"/>
        <v>0</v>
      </c>
      <c r="N45" s="57">
        <f>SUM(B45:M45)</f>
        <v>3843509.99</v>
      </c>
    </row>
    <row r="46" spans="2:14" ht="12" thickTop="1">
      <c r="B46" s="48"/>
      <c r="C46" s="48"/>
      <c r="D46" s="48"/>
      <c r="E46" s="48"/>
      <c r="F46" s="48"/>
      <c r="G46" s="48"/>
      <c r="H46" s="48"/>
      <c r="I46" s="48"/>
      <c r="J46" s="48"/>
      <c r="N46" s="48"/>
    </row>
    <row r="47" spans="2:14" ht="11.25">
      <c r="B47" s="48"/>
      <c r="C47" s="48"/>
      <c r="D47" s="48"/>
      <c r="E47" s="48"/>
      <c r="F47" s="48"/>
      <c r="G47" s="48"/>
      <c r="H47" s="48"/>
      <c r="I47" s="48"/>
      <c r="J47" s="48"/>
      <c r="N47" s="48"/>
    </row>
    <row r="48" spans="2:14" ht="11.25">
      <c r="B48" s="48"/>
      <c r="C48" s="48"/>
      <c r="D48" s="48"/>
      <c r="E48" s="48"/>
      <c r="F48" s="48"/>
      <c r="G48" s="48"/>
      <c r="H48" s="48"/>
      <c r="I48" s="48"/>
      <c r="J48" s="48"/>
      <c r="L48" s="48"/>
      <c r="M48" s="48"/>
      <c r="N48" s="48"/>
    </row>
    <row r="49" spans="1:14" ht="11.25">
      <c r="A49" s="43" t="s">
        <v>76</v>
      </c>
      <c r="H49" s="45"/>
      <c r="N49" s="46" t="s">
        <v>89</v>
      </c>
    </row>
    <row r="50" ht="11.25">
      <c r="A50" s="43" t="s">
        <v>32</v>
      </c>
    </row>
    <row r="51" ht="11.25">
      <c r="L51" s="48"/>
    </row>
    <row r="52" spans="1:14" ht="11.25">
      <c r="A52" s="43" t="s">
        <v>90</v>
      </c>
      <c r="B52" s="49"/>
      <c r="C52" s="49"/>
      <c r="D52" s="49"/>
      <c r="E52" s="49"/>
      <c r="F52" s="49"/>
      <c r="G52" s="49"/>
      <c r="H52" s="49" t="s">
        <v>1</v>
      </c>
      <c r="I52" s="49"/>
      <c r="J52" s="49"/>
      <c r="K52" s="49"/>
      <c r="L52" s="50" t="s">
        <v>29</v>
      </c>
      <c r="M52" s="49"/>
      <c r="N52" s="49" t="s">
        <v>97</v>
      </c>
    </row>
    <row r="53" spans="2:14" ht="11.25">
      <c r="B53" s="49" t="s">
        <v>2</v>
      </c>
      <c r="C53" s="49"/>
      <c r="D53" s="49" t="s">
        <v>3</v>
      </c>
      <c r="E53" s="49"/>
      <c r="F53" s="49"/>
      <c r="G53" s="49"/>
      <c r="H53" s="49" t="s">
        <v>4</v>
      </c>
      <c r="I53" s="49"/>
      <c r="J53" s="49" t="s">
        <v>5</v>
      </c>
      <c r="K53" s="49" t="s">
        <v>6</v>
      </c>
      <c r="L53" s="50" t="s">
        <v>30</v>
      </c>
      <c r="M53" s="49"/>
      <c r="N53" s="49" t="s">
        <v>7</v>
      </c>
    </row>
    <row r="54" spans="2:14" ht="11.25">
      <c r="B54" s="51" t="s">
        <v>8</v>
      </c>
      <c r="C54" s="51" t="s">
        <v>9</v>
      </c>
      <c r="D54" s="51" t="s">
        <v>10</v>
      </c>
      <c r="E54" s="51" t="s">
        <v>11</v>
      </c>
      <c r="F54" s="51" t="s">
        <v>12</v>
      </c>
      <c r="G54" s="51" t="s">
        <v>13</v>
      </c>
      <c r="H54" s="51" t="s">
        <v>10</v>
      </c>
      <c r="I54" s="51" t="s">
        <v>14</v>
      </c>
      <c r="J54" s="51" t="s">
        <v>15</v>
      </c>
      <c r="K54" s="51" t="s">
        <v>16</v>
      </c>
      <c r="L54" s="52" t="s">
        <v>10</v>
      </c>
      <c r="M54" s="51" t="s">
        <v>26</v>
      </c>
      <c r="N54" s="51" t="s">
        <v>8</v>
      </c>
    </row>
    <row r="55" spans="1:14" ht="11.25">
      <c r="A55" s="43" t="s">
        <v>25</v>
      </c>
      <c r="B55" s="44">
        <f aca="true" t="shared" si="11" ref="B55:M55">SUM(B56:B58)</f>
        <v>0</v>
      </c>
      <c r="C55" s="44">
        <f t="shared" si="11"/>
        <v>392355.8</v>
      </c>
      <c r="D55" s="44">
        <f t="shared" si="11"/>
        <v>69463.86</v>
      </c>
      <c r="E55" s="44">
        <f t="shared" si="11"/>
        <v>0</v>
      </c>
      <c r="F55" s="44">
        <f t="shared" si="11"/>
        <v>0</v>
      </c>
      <c r="G55" s="44">
        <f t="shared" si="11"/>
        <v>127816.78</v>
      </c>
      <c r="H55" s="44">
        <f t="shared" si="11"/>
        <v>0</v>
      </c>
      <c r="I55" s="44">
        <f t="shared" si="11"/>
        <v>699193.14</v>
      </c>
      <c r="J55" s="44">
        <f t="shared" si="11"/>
        <v>971084.62</v>
      </c>
      <c r="K55" s="44">
        <f t="shared" si="11"/>
        <v>0</v>
      </c>
      <c r="L55" s="44">
        <f t="shared" si="11"/>
        <v>0</v>
      </c>
      <c r="M55" s="44">
        <f t="shared" si="11"/>
        <v>0</v>
      </c>
      <c r="N55" s="44">
        <f>SUM(B55:M55)</f>
        <v>2259914.2</v>
      </c>
    </row>
    <row r="56" spans="1:15" s="53" customFormat="1" ht="11.25" outlineLevel="1">
      <c r="A56" s="53" t="s">
        <v>82</v>
      </c>
      <c r="C56" s="53">
        <v>392355.8</v>
      </c>
      <c r="D56" s="53">
        <f>5318.24+64145.62</f>
        <v>69463.86</v>
      </c>
      <c r="G56" s="53">
        <v>112070</v>
      </c>
      <c r="I56" s="53">
        <v>319548.6</v>
      </c>
      <c r="J56" s="53">
        <f>143941+467100+8876+332482</f>
        <v>952399</v>
      </c>
      <c r="N56" s="44">
        <f>SUM(B56:M56)</f>
        <v>1845837.2599999998</v>
      </c>
      <c r="O56" s="54"/>
    </row>
    <row r="57" spans="1:15" s="53" customFormat="1" ht="11.25" outlineLevel="1">
      <c r="A57" s="53" t="s">
        <v>83</v>
      </c>
      <c r="G57" s="53">
        <v>15746.78</v>
      </c>
      <c r="I57" s="53">
        <v>250562.94</v>
      </c>
      <c r="J57" s="53">
        <v>18685.62</v>
      </c>
      <c r="N57" s="44">
        <f>SUM(B57:M57)</f>
        <v>284995.34</v>
      </c>
      <c r="O57" s="54"/>
    </row>
    <row r="58" spans="1:15" s="53" customFormat="1" ht="11.25" outlineLevel="1">
      <c r="A58" s="53" t="s">
        <v>84</v>
      </c>
      <c r="I58" s="53">
        <v>129081.6</v>
      </c>
      <c r="N58" s="44">
        <f>SUM(B58:M58)</f>
        <v>129081.6</v>
      </c>
      <c r="O58" s="54"/>
    </row>
    <row r="60" spans="1:14" ht="11.25">
      <c r="A60" s="43" t="s">
        <v>23</v>
      </c>
      <c r="B60" s="44">
        <f>SUM(B61:B61)</f>
        <v>0</v>
      </c>
      <c r="C60" s="44">
        <f>SUM(C61:C62)</f>
        <v>0</v>
      </c>
      <c r="D60" s="44">
        <f>SUM(D61:D61)</f>
        <v>0</v>
      </c>
      <c r="E60" s="44">
        <f>SUM(E61:E61)</f>
        <v>0</v>
      </c>
      <c r="F60" s="44">
        <f>SUM(F61:F61)</f>
        <v>0</v>
      </c>
      <c r="G60" s="44">
        <f>SUM(G61:G61)</f>
        <v>0</v>
      </c>
      <c r="H60" s="44">
        <f>SUM(H61:H61)</f>
        <v>0</v>
      </c>
      <c r="I60" s="44">
        <f>SUM(I61:I62)</f>
        <v>0</v>
      </c>
      <c r="J60" s="44">
        <f>SUM(J61:J61)</f>
        <v>0</v>
      </c>
      <c r="K60" s="44">
        <f>SUM(K61:K61)</f>
        <v>0</v>
      </c>
      <c r="L60" s="44">
        <f>SUM(L61:L62)</f>
        <v>0</v>
      </c>
      <c r="M60" s="44">
        <f>SUM(M61:M61)</f>
        <v>0</v>
      </c>
      <c r="N60" s="44">
        <f>SUM(B60:M60)</f>
        <v>0</v>
      </c>
    </row>
    <row r="61" spans="1:15" s="53" customFormat="1" ht="11.25" outlineLevel="1">
      <c r="A61" s="53" t="s">
        <v>82</v>
      </c>
      <c r="N61" s="44">
        <f>SUM(B61:M61)</f>
        <v>0</v>
      </c>
      <c r="O61" s="54"/>
    </row>
    <row r="62" spans="1:15" s="53" customFormat="1" ht="11.25" outlineLevel="1">
      <c r="A62" s="53" t="s">
        <v>84</v>
      </c>
      <c r="N62" s="44">
        <f>SUM(B62:M62)</f>
        <v>0</v>
      </c>
      <c r="O62" s="54"/>
    </row>
    <row r="64" spans="1:14" ht="11.25">
      <c r="A64" s="43" t="s">
        <v>24</v>
      </c>
      <c r="B64" s="44">
        <f aca="true" t="shared" si="12" ref="B64:M64">SUM(B65:B66)</f>
        <v>127772.06999999999</v>
      </c>
      <c r="C64" s="44">
        <f t="shared" si="12"/>
        <v>0</v>
      </c>
      <c r="D64" s="44">
        <f t="shared" si="12"/>
        <v>1177.64</v>
      </c>
      <c r="E64" s="44">
        <f t="shared" si="12"/>
        <v>0</v>
      </c>
      <c r="F64" s="44">
        <f t="shared" si="12"/>
        <v>449415</v>
      </c>
      <c r="G64" s="44">
        <f t="shared" si="12"/>
        <v>1643438.27</v>
      </c>
      <c r="H64" s="44">
        <f t="shared" si="12"/>
        <v>0</v>
      </c>
      <c r="I64" s="44">
        <f t="shared" si="12"/>
        <v>2845557.51</v>
      </c>
      <c r="J64" s="44">
        <f t="shared" si="12"/>
        <v>11125</v>
      </c>
      <c r="K64" s="44">
        <f t="shared" si="12"/>
        <v>0</v>
      </c>
      <c r="L64" s="44">
        <f t="shared" si="12"/>
        <v>0</v>
      </c>
      <c r="M64" s="44">
        <f t="shared" si="12"/>
        <v>0</v>
      </c>
      <c r="N64" s="44">
        <f>SUM(B64:M64)</f>
        <v>5078485.49</v>
      </c>
    </row>
    <row r="65" spans="1:15" s="53" customFormat="1" ht="11.25" outlineLevel="1">
      <c r="A65" s="53" t="s">
        <v>82</v>
      </c>
      <c r="B65" s="53">
        <f>8921.25+100102.48+15809.98+2938.36</f>
        <v>127772.06999999999</v>
      </c>
      <c r="D65" s="53">
        <v>1177.64</v>
      </c>
      <c r="F65" s="53">
        <f>60170+389245</f>
        <v>449415</v>
      </c>
      <c r="G65" s="53">
        <f>6488.96+8389+623146.31+970483+32628+2303</f>
        <v>1643438.27</v>
      </c>
      <c r="I65" s="53">
        <v>2845557.51</v>
      </c>
      <c r="J65" s="53">
        <f>7579+3546</f>
        <v>11125</v>
      </c>
      <c r="N65" s="44">
        <f>SUM(B65:M65)</f>
        <v>5078485.49</v>
      </c>
      <c r="O65" s="54"/>
    </row>
    <row r="66" spans="1:15" s="53" customFormat="1" ht="11.25" outlineLevel="1">
      <c r="A66" s="53" t="s">
        <v>84</v>
      </c>
      <c r="N66" s="44">
        <f>SUM(B66:M66)</f>
        <v>0</v>
      </c>
      <c r="O66" s="54"/>
    </row>
    <row r="67" spans="2:14" ht="11.25">
      <c r="B67" s="55"/>
      <c r="C67" s="55"/>
      <c r="D67" s="55"/>
      <c r="E67" s="55"/>
      <c r="F67" s="55"/>
      <c r="G67" s="55"/>
      <c r="H67" s="55"/>
      <c r="I67" s="55"/>
      <c r="J67" s="55"/>
      <c r="K67" s="55"/>
      <c r="L67" s="55"/>
      <c r="M67" s="55"/>
      <c r="N67" s="55"/>
    </row>
    <row r="68" spans="1:14" ht="12" thickBot="1">
      <c r="A68" s="43" t="s">
        <v>7</v>
      </c>
      <c r="B68" s="56">
        <f aca="true" t="shared" si="13" ref="B68:M68">B64+B60+B55</f>
        <v>127772.06999999999</v>
      </c>
      <c r="C68" s="56">
        <f t="shared" si="13"/>
        <v>392355.8</v>
      </c>
      <c r="D68" s="56">
        <f t="shared" si="13"/>
        <v>70641.5</v>
      </c>
      <c r="E68" s="56">
        <f t="shared" si="13"/>
        <v>0</v>
      </c>
      <c r="F68" s="56">
        <f t="shared" si="13"/>
        <v>449415</v>
      </c>
      <c r="G68" s="56">
        <f t="shared" si="13"/>
        <v>1771255.05</v>
      </c>
      <c r="H68" s="56">
        <f t="shared" si="13"/>
        <v>0</v>
      </c>
      <c r="I68" s="56">
        <f t="shared" si="13"/>
        <v>3544750.65</v>
      </c>
      <c r="J68" s="56">
        <f t="shared" si="13"/>
        <v>982209.62</v>
      </c>
      <c r="K68" s="56">
        <f t="shared" si="13"/>
        <v>0</v>
      </c>
      <c r="L68" s="56">
        <f t="shared" si="13"/>
        <v>0</v>
      </c>
      <c r="M68" s="56">
        <f t="shared" si="13"/>
        <v>0</v>
      </c>
      <c r="N68" s="56">
        <f>SUM(B68:M68)</f>
        <v>7338399.69</v>
      </c>
    </row>
    <row r="69" ht="11.25" customHeight="1" thickTop="1"/>
    <row r="72" spans="1:14" ht="11.25">
      <c r="A72" s="43" t="s">
        <v>76</v>
      </c>
      <c r="H72" s="45"/>
      <c r="N72" s="46" t="s">
        <v>91</v>
      </c>
    </row>
    <row r="73" ht="11.25">
      <c r="A73" s="43" t="s">
        <v>28</v>
      </c>
    </row>
    <row r="74" ht="11.25">
      <c r="L74" s="48"/>
    </row>
    <row r="75" spans="1:14" ht="11.25">
      <c r="A75" s="43" t="s">
        <v>90</v>
      </c>
      <c r="B75" s="49"/>
      <c r="C75" s="49"/>
      <c r="D75" s="49"/>
      <c r="E75" s="49"/>
      <c r="F75" s="49"/>
      <c r="G75" s="49"/>
      <c r="H75" s="49" t="s">
        <v>1</v>
      </c>
      <c r="I75" s="49"/>
      <c r="J75" s="49"/>
      <c r="K75" s="49"/>
      <c r="L75" s="50" t="s">
        <v>29</v>
      </c>
      <c r="M75" s="49"/>
      <c r="N75" s="49" t="s">
        <v>97</v>
      </c>
    </row>
    <row r="76" spans="2:14" ht="11.25">
      <c r="B76" s="49" t="s">
        <v>2</v>
      </c>
      <c r="C76" s="49"/>
      <c r="D76" s="49" t="s">
        <v>3</v>
      </c>
      <c r="E76" s="49"/>
      <c r="F76" s="49"/>
      <c r="G76" s="49"/>
      <c r="H76" s="49" t="s">
        <v>4</v>
      </c>
      <c r="I76" s="49"/>
      <c r="J76" s="49" t="s">
        <v>5</v>
      </c>
      <c r="K76" s="49" t="s">
        <v>6</v>
      </c>
      <c r="L76" s="50" t="s">
        <v>30</v>
      </c>
      <c r="M76" s="49"/>
      <c r="N76" s="49" t="s">
        <v>7</v>
      </c>
    </row>
    <row r="77" spans="2:14" ht="11.25">
      <c r="B77" s="51" t="s">
        <v>8</v>
      </c>
      <c r="C77" s="51" t="s">
        <v>9</v>
      </c>
      <c r="D77" s="51" t="s">
        <v>10</v>
      </c>
      <c r="E77" s="51" t="s">
        <v>11</v>
      </c>
      <c r="F77" s="51" t="s">
        <v>12</v>
      </c>
      <c r="G77" s="51" t="s">
        <v>13</v>
      </c>
      <c r="H77" s="51" t="s">
        <v>10</v>
      </c>
      <c r="I77" s="51" t="s">
        <v>14</v>
      </c>
      <c r="J77" s="51" t="s">
        <v>15</v>
      </c>
      <c r="K77" s="51" t="s">
        <v>16</v>
      </c>
      <c r="L77" s="52" t="s">
        <v>10</v>
      </c>
      <c r="M77" s="51" t="s">
        <v>26</v>
      </c>
      <c r="N77" s="51" t="s">
        <v>8</v>
      </c>
    </row>
    <row r="78" spans="1:14" ht="11.25">
      <c r="A78" s="43" t="s">
        <v>25</v>
      </c>
      <c r="B78" s="44">
        <f aca="true" t="shared" si="14" ref="B78:M78">SUM(B79:B81)</f>
        <v>0</v>
      </c>
      <c r="C78" s="44">
        <f t="shared" si="14"/>
        <v>0</v>
      </c>
      <c r="D78" s="44">
        <f t="shared" si="14"/>
        <v>0</v>
      </c>
      <c r="E78" s="44">
        <f t="shared" si="14"/>
        <v>0</v>
      </c>
      <c r="F78" s="44">
        <f t="shared" si="14"/>
        <v>0</v>
      </c>
      <c r="G78" s="44">
        <f t="shared" si="14"/>
        <v>6226</v>
      </c>
      <c r="H78" s="44">
        <f t="shared" si="14"/>
        <v>0</v>
      </c>
      <c r="I78" s="44">
        <f t="shared" si="14"/>
        <v>0</v>
      </c>
      <c r="J78" s="44">
        <f t="shared" si="14"/>
        <v>952138</v>
      </c>
      <c r="K78" s="44">
        <f t="shared" si="14"/>
        <v>0</v>
      </c>
      <c r="L78" s="44">
        <f t="shared" si="14"/>
        <v>0</v>
      </c>
      <c r="M78" s="44">
        <f t="shared" si="14"/>
        <v>0</v>
      </c>
      <c r="N78" s="44">
        <f>SUM(B78:M78)</f>
        <v>958364</v>
      </c>
    </row>
    <row r="79" spans="1:15" s="53" customFormat="1" ht="11.25" outlineLevel="1">
      <c r="A79" s="53" t="s">
        <v>82</v>
      </c>
      <c r="G79" s="53">
        <v>6226</v>
      </c>
      <c r="J79" s="53">
        <f>143941+467100+8615+332482</f>
        <v>952138</v>
      </c>
      <c r="N79" s="44">
        <f>SUM(B79:M79)</f>
        <v>958364</v>
      </c>
      <c r="O79" s="54"/>
    </row>
    <row r="80" spans="1:15" s="53" customFormat="1" ht="11.25" outlineLevel="1">
      <c r="A80" s="53" t="s">
        <v>83</v>
      </c>
      <c r="N80" s="44">
        <f>SUM(B80:M80)</f>
        <v>0</v>
      </c>
      <c r="O80" s="54"/>
    </row>
    <row r="81" spans="1:15" s="53" customFormat="1" ht="11.25" outlineLevel="1">
      <c r="A81" s="53" t="s">
        <v>84</v>
      </c>
      <c r="N81" s="44">
        <f>SUM(B81:M81)</f>
        <v>0</v>
      </c>
      <c r="O81" s="54"/>
    </row>
    <row r="83" spans="1:14" ht="11.25">
      <c r="A83" s="43" t="s">
        <v>23</v>
      </c>
      <c r="B83" s="44">
        <f>SUM(B84:B84)</f>
        <v>0</v>
      </c>
      <c r="C83" s="44">
        <f>SUM(C84:C85)</f>
        <v>0</v>
      </c>
      <c r="D83" s="44">
        <f aca="true" t="shared" si="15" ref="D83:M83">SUM(D84:D84)</f>
        <v>0</v>
      </c>
      <c r="E83" s="44">
        <f t="shared" si="15"/>
        <v>0</v>
      </c>
      <c r="F83" s="44">
        <f t="shared" si="15"/>
        <v>0</v>
      </c>
      <c r="G83" s="44">
        <f t="shared" si="15"/>
        <v>0</v>
      </c>
      <c r="H83" s="44">
        <f t="shared" si="15"/>
        <v>0</v>
      </c>
      <c r="I83" s="44">
        <f t="shared" si="15"/>
        <v>0</v>
      </c>
      <c r="J83" s="44">
        <f t="shared" si="15"/>
        <v>0</v>
      </c>
      <c r="K83" s="44">
        <f t="shared" si="15"/>
        <v>0</v>
      </c>
      <c r="L83" s="44">
        <f t="shared" si="15"/>
        <v>0</v>
      </c>
      <c r="M83" s="44">
        <f t="shared" si="15"/>
        <v>0</v>
      </c>
      <c r="N83" s="44">
        <f>SUM(B83:M83)</f>
        <v>0</v>
      </c>
    </row>
    <row r="84" spans="1:15" s="53" customFormat="1" ht="11.25" outlineLevel="1">
      <c r="A84" s="53" t="s">
        <v>82</v>
      </c>
      <c r="N84" s="44">
        <f>SUM(B84:M84)</f>
        <v>0</v>
      </c>
      <c r="O84" s="54"/>
    </row>
    <row r="85" spans="1:15" s="53" customFormat="1" ht="11.25" outlineLevel="1">
      <c r="A85" s="53" t="s">
        <v>84</v>
      </c>
      <c r="N85" s="44">
        <f>SUM(B85:M85)</f>
        <v>0</v>
      </c>
      <c r="O85" s="54"/>
    </row>
    <row r="87" spans="1:14" ht="11.25">
      <c r="A87" s="43" t="s">
        <v>24</v>
      </c>
      <c r="B87" s="44">
        <f aca="true" t="shared" si="16" ref="B87:M87">SUM(B88:B89)</f>
        <v>1703397.54</v>
      </c>
      <c r="C87" s="44">
        <f t="shared" si="16"/>
        <v>69409.88</v>
      </c>
      <c r="D87" s="44">
        <f t="shared" si="16"/>
        <v>0</v>
      </c>
      <c r="E87" s="44">
        <f t="shared" si="16"/>
        <v>0</v>
      </c>
      <c r="F87" s="44">
        <f t="shared" si="16"/>
        <v>0</v>
      </c>
      <c r="G87" s="44">
        <f t="shared" si="16"/>
        <v>362572.81</v>
      </c>
      <c r="H87" s="44">
        <f t="shared" si="16"/>
        <v>0</v>
      </c>
      <c r="I87" s="44">
        <f t="shared" si="16"/>
        <v>0</v>
      </c>
      <c r="J87" s="44">
        <f t="shared" si="16"/>
        <v>10798</v>
      </c>
      <c r="K87" s="44">
        <f t="shared" si="16"/>
        <v>0</v>
      </c>
      <c r="L87" s="44">
        <f t="shared" si="16"/>
        <v>0</v>
      </c>
      <c r="M87" s="44">
        <f t="shared" si="16"/>
        <v>0</v>
      </c>
      <c r="N87" s="44">
        <f>SUM(B87:M87)</f>
        <v>2146178.23</v>
      </c>
    </row>
    <row r="88" spans="1:15" s="53" customFormat="1" ht="11.25" outlineLevel="1">
      <c r="A88" s="53" t="s">
        <v>82</v>
      </c>
      <c r="B88" s="53">
        <f>829480.64+23032.3+825604.07+21299.53+3981</f>
        <v>1703397.54</v>
      </c>
      <c r="C88" s="53">
        <v>69409.88</v>
      </c>
      <c r="G88" s="53">
        <f>258796+8157+74890.81+20729</f>
        <v>362572.81</v>
      </c>
      <c r="J88" s="53">
        <f>7357+3441</f>
        <v>10798</v>
      </c>
      <c r="N88" s="44">
        <f>SUM(B88:M88)</f>
        <v>2146178.23</v>
      </c>
      <c r="O88" s="54"/>
    </row>
    <row r="89" spans="1:15" s="53" customFormat="1" ht="11.25" outlineLevel="1">
      <c r="A89" s="53" t="s">
        <v>84</v>
      </c>
      <c r="N89" s="44">
        <f>SUM(B89:M89)</f>
        <v>0</v>
      </c>
      <c r="O89" s="54"/>
    </row>
    <row r="90" spans="2:14" ht="11.25">
      <c r="B90" s="55"/>
      <c r="C90" s="55"/>
      <c r="D90" s="55"/>
      <c r="E90" s="55"/>
      <c r="F90" s="55"/>
      <c r="G90" s="55"/>
      <c r="H90" s="55"/>
      <c r="I90" s="55"/>
      <c r="J90" s="55"/>
      <c r="K90" s="55"/>
      <c r="L90" s="55"/>
      <c r="M90" s="55"/>
      <c r="N90" s="55"/>
    </row>
    <row r="91" spans="1:14" ht="12" thickBot="1">
      <c r="A91" s="43" t="s">
        <v>7</v>
      </c>
      <c r="B91" s="56">
        <f aca="true" t="shared" si="17" ref="B91:M91">B87+B83+B78</f>
        <v>1703397.54</v>
      </c>
      <c r="C91" s="56">
        <f t="shared" si="17"/>
        <v>69409.88</v>
      </c>
      <c r="D91" s="56">
        <f t="shared" si="17"/>
        <v>0</v>
      </c>
      <c r="E91" s="56">
        <f t="shared" si="17"/>
        <v>0</v>
      </c>
      <c r="F91" s="56">
        <f t="shared" si="17"/>
        <v>0</v>
      </c>
      <c r="G91" s="56">
        <f t="shared" si="17"/>
        <v>368798.81</v>
      </c>
      <c r="H91" s="56">
        <f t="shared" si="17"/>
        <v>0</v>
      </c>
      <c r="I91" s="56">
        <f t="shared" si="17"/>
        <v>0</v>
      </c>
      <c r="J91" s="56">
        <f t="shared" si="17"/>
        <v>962936</v>
      </c>
      <c r="K91" s="56">
        <f t="shared" si="17"/>
        <v>0</v>
      </c>
      <c r="L91" s="56">
        <f t="shared" si="17"/>
        <v>0</v>
      </c>
      <c r="M91" s="56">
        <f t="shared" si="17"/>
        <v>0</v>
      </c>
      <c r="N91" s="57">
        <f>SUM(B91:M91)</f>
        <v>3104542.23</v>
      </c>
    </row>
    <row r="92" ht="12" thickTop="1"/>
    <row r="95" spans="1:14" ht="11.25">
      <c r="A95" s="43" t="s">
        <v>76</v>
      </c>
      <c r="H95" s="45"/>
      <c r="N95" s="46" t="s">
        <v>92</v>
      </c>
    </row>
    <row r="96" ht="11.25">
      <c r="A96" s="43" t="s">
        <v>0</v>
      </c>
    </row>
    <row r="97" ht="11.25">
      <c r="L97" s="48"/>
    </row>
    <row r="98" spans="1:14" ht="11.25">
      <c r="A98" s="43" t="s">
        <v>93</v>
      </c>
      <c r="B98" s="49"/>
      <c r="C98" s="49"/>
      <c r="D98" s="49"/>
      <c r="E98" s="49"/>
      <c r="F98" s="49"/>
      <c r="G98" s="49"/>
      <c r="H98" s="49" t="s">
        <v>1</v>
      </c>
      <c r="I98" s="49"/>
      <c r="J98" s="49"/>
      <c r="K98" s="49"/>
      <c r="L98" s="50" t="s">
        <v>29</v>
      </c>
      <c r="M98" s="49"/>
      <c r="N98" s="49" t="s">
        <v>97</v>
      </c>
    </row>
    <row r="99" spans="2:14" ht="11.25">
      <c r="B99" s="49" t="s">
        <v>2</v>
      </c>
      <c r="C99" s="49"/>
      <c r="D99" s="49" t="s">
        <v>3</v>
      </c>
      <c r="E99" s="49"/>
      <c r="F99" s="49"/>
      <c r="G99" s="49"/>
      <c r="H99" s="49" t="s">
        <v>4</v>
      </c>
      <c r="I99" s="49"/>
      <c r="J99" s="49" t="s">
        <v>5</v>
      </c>
      <c r="K99" s="49" t="s">
        <v>6</v>
      </c>
      <c r="L99" s="50" t="s">
        <v>30</v>
      </c>
      <c r="M99" s="49"/>
      <c r="N99" s="49" t="s">
        <v>7</v>
      </c>
    </row>
    <row r="100" spans="2:14" ht="11.25">
      <c r="B100" s="51" t="s">
        <v>8</v>
      </c>
      <c r="C100" s="51" t="s">
        <v>9</v>
      </c>
      <c r="D100" s="51" t="s">
        <v>10</v>
      </c>
      <c r="E100" s="51" t="s">
        <v>11</v>
      </c>
      <c r="F100" s="51" t="s">
        <v>12</v>
      </c>
      <c r="G100" s="51" t="s">
        <v>13</v>
      </c>
      <c r="H100" s="51" t="s">
        <v>10</v>
      </c>
      <c r="I100" s="51" t="s">
        <v>14</v>
      </c>
      <c r="J100" s="51" t="s">
        <v>15</v>
      </c>
      <c r="K100" s="51" t="s">
        <v>16</v>
      </c>
      <c r="L100" s="52" t="s">
        <v>10</v>
      </c>
      <c r="M100" s="51" t="s">
        <v>26</v>
      </c>
      <c r="N100" s="51" t="s">
        <v>8</v>
      </c>
    </row>
    <row r="101" spans="1:14" ht="11.25">
      <c r="A101" s="44" t="s">
        <v>94</v>
      </c>
      <c r="B101" s="44">
        <f>'Sponsored Programs'!B35</f>
        <v>24899450.759999998</v>
      </c>
      <c r="C101" s="44">
        <f>'Sponsored Programs'!C35</f>
        <v>101612846.71000001</v>
      </c>
      <c r="D101" s="44">
        <f>'Sponsored Programs'!D35</f>
        <v>28902683.989999995</v>
      </c>
      <c r="E101" s="44">
        <f>'Sponsored Programs'!E35</f>
        <v>4302027.82</v>
      </c>
      <c r="F101" s="44">
        <f>'Sponsored Programs'!F35</f>
        <v>11998240.5</v>
      </c>
      <c r="G101" s="44">
        <f>'Sponsored Programs'!G35</f>
        <v>24783803.2</v>
      </c>
      <c r="H101" s="44">
        <f>'Sponsored Programs'!H35</f>
        <v>9748107.73</v>
      </c>
      <c r="I101" s="44">
        <f>'Sponsored Programs'!I35</f>
        <v>4757277.67</v>
      </c>
      <c r="J101" s="44">
        <f>'Sponsored Programs'!J35</f>
        <v>17874802.97</v>
      </c>
      <c r="K101" s="44">
        <f>'Sponsored Programs'!K35</f>
        <v>4860556.5</v>
      </c>
      <c r="L101" s="44">
        <f>'Sponsored Programs'!L35</f>
        <v>16733505.13</v>
      </c>
      <c r="M101" s="44">
        <f>'Sponsored Programs'!M35</f>
        <v>894168.9400000001</v>
      </c>
      <c r="N101" s="44">
        <f>SUM(B101:M101)</f>
        <v>251367471.91999993</v>
      </c>
    </row>
    <row r="102" spans="1:15" ht="11.25">
      <c r="A102" s="44" t="s">
        <v>95</v>
      </c>
      <c r="B102" s="44">
        <f>B21</f>
        <v>1942612.86</v>
      </c>
      <c r="C102" s="44">
        <f aca="true" t="shared" si="18" ref="C102:M102">C21</f>
        <v>2091640.77</v>
      </c>
      <c r="D102" s="44">
        <f t="shared" si="18"/>
        <v>130641.5</v>
      </c>
      <c r="E102" s="44">
        <f t="shared" si="18"/>
        <v>0</v>
      </c>
      <c r="F102" s="44">
        <f t="shared" si="18"/>
        <v>465727.08</v>
      </c>
      <c r="G102" s="44">
        <f t="shared" si="18"/>
        <v>3508983.09</v>
      </c>
      <c r="H102" s="44">
        <f t="shared" si="18"/>
        <v>232.35</v>
      </c>
      <c r="I102" s="44">
        <f t="shared" si="18"/>
        <v>3544750.65</v>
      </c>
      <c r="J102" s="44">
        <f t="shared" si="18"/>
        <v>2601863.61</v>
      </c>
      <c r="K102" s="44">
        <f t="shared" si="18"/>
        <v>0</v>
      </c>
      <c r="L102" s="44">
        <f t="shared" si="18"/>
        <v>0</v>
      </c>
      <c r="M102" s="44">
        <f t="shared" si="18"/>
        <v>0</v>
      </c>
      <c r="N102" s="44">
        <f>SUM(B102:M102)</f>
        <v>14286451.909999998</v>
      </c>
      <c r="O102" s="47" t="s">
        <v>34</v>
      </c>
    </row>
    <row r="104" spans="1:14" ht="12" thickBot="1">
      <c r="A104" s="43" t="s">
        <v>7</v>
      </c>
      <c r="B104" s="57">
        <f aca="true" t="shared" si="19" ref="B104:N104">SUM(B101:B103)</f>
        <v>26842063.619999997</v>
      </c>
      <c r="C104" s="57">
        <f t="shared" si="19"/>
        <v>103704487.48</v>
      </c>
      <c r="D104" s="57">
        <f t="shared" si="19"/>
        <v>29033325.489999995</v>
      </c>
      <c r="E104" s="57">
        <f t="shared" si="19"/>
        <v>4302027.82</v>
      </c>
      <c r="F104" s="57">
        <f t="shared" si="19"/>
        <v>12463967.58</v>
      </c>
      <c r="G104" s="57">
        <f t="shared" si="19"/>
        <v>28292786.29</v>
      </c>
      <c r="H104" s="57">
        <f t="shared" si="19"/>
        <v>9748340.08</v>
      </c>
      <c r="I104" s="57">
        <f t="shared" si="19"/>
        <v>8302028.32</v>
      </c>
      <c r="J104" s="57">
        <f t="shared" si="19"/>
        <v>20476666.58</v>
      </c>
      <c r="K104" s="57">
        <f t="shared" si="19"/>
        <v>4860556.5</v>
      </c>
      <c r="L104" s="57">
        <f t="shared" si="19"/>
        <v>16733505.13</v>
      </c>
      <c r="M104" s="57">
        <f t="shared" si="19"/>
        <v>894168.9400000001</v>
      </c>
      <c r="N104" s="57">
        <f t="shared" si="19"/>
        <v>265653923.82999992</v>
      </c>
    </row>
    <row r="105" ht="12" thickTop="1"/>
    <row r="108" spans="1:14" ht="11.25">
      <c r="A108" s="43" t="s">
        <v>96</v>
      </c>
      <c r="H108" s="45"/>
      <c r="N108" s="46" t="s">
        <v>92</v>
      </c>
    </row>
    <row r="109" ht="11.25">
      <c r="A109" s="43" t="s">
        <v>0</v>
      </c>
    </row>
    <row r="110" ht="11.25">
      <c r="L110" s="48"/>
    </row>
    <row r="111" spans="1:14" ht="11.25">
      <c r="A111" s="43" t="s">
        <v>93</v>
      </c>
      <c r="B111" s="49"/>
      <c r="C111" s="49"/>
      <c r="D111" s="49"/>
      <c r="E111" s="49"/>
      <c r="F111" s="49"/>
      <c r="G111" s="49"/>
      <c r="H111" s="49" t="s">
        <v>1</v>
      </c>
      <c r="I111" s="49"/>
      <c r="J111" s="49"/>
      <c r="K111" s="49"/>
      <c r="L111" s="50" t="s">
        <v>29</v>
      </c>
      <c r="M111" s="49"/>
      <c r="N111" s="49" t="s">
        <v>81</v>
      </c>
    </row>
    <row r="112" spans="2:14" ht="11.25">
      <c r="B112" s="49" t="s">
        <v>2</v>
      </c>
      <c r="C112" s="49"/>
      <c r="D112" s="49" t="s">
        <v>3</v>
      </c>
      <c r="E112" s="49"/>
      <c r="F112" s="49"/>
      <c r="G112" s="49"/>
      <c r="H112" s="49" t="s">
        <v>4</v>
      </c>
      <c r="I112" s="49"/>
      <c r="J112" s="49" t="s">
        <v>5</v>
      </c>
      <c r="K112" s="49" t="s">
        <v>6</v>
      </c>
      <c r="L112" s="50" t="s">
        <v>30</v>
      </c>
      <c r="M112" s="49"/>
      <c r="N112" s="49" t="s">
        <v>7</v>
      </c>
    </row>
    <row r="113" spans="2:14" ht="11.25">
      <c r="B113" s="51" t="s">
        <v>8</v>
      </c>
      <c r="C113" s="51" t="s">
        <v>9</v>
      </c>
      <c r="D113" s="51" t="s">
        <v>10</v>
      </c>
      <c r="E113" s="51" t="s">
        <v>11</v>
      </c>
      <c r="F113" s="51" t="s">
        <v>12</v>
      </c>
      <c r="G113" s="51" t="s">
        <v>13</v>
      </c>
      <c r="H113" s="51" t="s">
        <v>10</v>
      </c>
      <c r="I113" s="51" t="s">
        <v>14</v>
      </c>
      <c r="J113" s="51" t="s">
        <v>15</v>
      </c>
      <c r="K113" s="51" t="s">
        <v>16</v>
      </c>
      <c r="L113" s="52" t="s">
        <v>10</v>
      </c>
      <c r="M113" s="51" t="s">
        <v>26</v>
      </c>
      <c r="N113" s="51" t="s">
        <v>8</v>
      </c>
    </row>
    <row r="114" spans="1:14" ht="11.25">
      <c r="A114" s="44" t="s">
        <v>94</v>
      </c>
      <c r="B114" s="44">
        <v>27580338</v>
      </c>
      <c r="C114" s="44">
        <v>98331686</v>
      </c>
      <c r="D114" s="44">
        <v>29252237</v>
      </c>
      <c r="E114" s="44">
        <v>3808668</v>
      </c>
      <c r="F114" s="44">
        <v>7648848</v>
      </c>
      <c r="G114" s="44">
        <v>26698181</v>
      </c>
      <c r="H114" s="44">
        <v>7407101</v>
      </c>
      <c r="I114" s="44">
        <v>2468586</v>
      </c>
      <c r="J114" s="44">
        <v>17840439</v>
      </c>
      <c r="K114" s="44">
        <v>4970684</v>
      </c>
      <c r="L114" s="44">
        <v>14746063</v>
      </c>
      <c r="M114" s="44">
        <v>407054</v>
      </c>
      <c r="N114" s="44">
        <f>SUM(B114:M114)</f>
        <v>241159885</v>
      </c>
    </row>
    <row r="115" spans="1:15" ht="11.25">
      <c r="A115" s="44" t="s">
        <v>95</v>
      </c>
      <c r="B115" s="44">
        <v>2448628</v>
      </c>
      <c r="C115" s="44">
        <v>900025</v>
      </c>
      <c r="D115" s="44">
        <v>529841</v>
      </c>
      <c r="E115" s="44">
        <v>0</v>
      </c>
      <c r="F115" s="44">
        <v>126000</v>
      </c>
      <c r="G115" s="44">
        <v>709875</v>
      </c>
      <c r="H115" s="44">
        <v>0</v>
      </c>
      <c r="I115" s="44">
        <v>2885731</v>
      </c>
      <c r="J115" s="44">
        <v>1981692</v>
      </c>
      <c r="K115" s="44">
        <v>1696836</v>
      </c>
      <c r="L115" s="44">
        <v>1639152</v>
      </c>
      <c r="M115" s="44">
        <v>1127780</v>
      </c>
      <c r="N115" s="44">
        <f>SUM(B115:M115)</f>
        <v>14045560</v>
      </c>
      <c r="O115" s="47" t="s">
        <v>34</v>
      </c>
    </row>
    <row r="117" spans="1:14" ht="12" thickBot="1">
      <c r="A117" s="43" t="s">
        <v>7</v>
      </c>
      <c r="B117" s="57">
        <f aca="true" t="shared" si="20" ref="B117:N117">SUM(B114:B116)</f>
        <v>30028966</v>
      </c>
      <c r="C117" s="57">
        <f t="shared" si="20"/>
        <v>99231711</v>
      </c>
      <c r="D117" s="57">
        <f t="shared" si="20"/>
        <v>29782078</v>
      </c>
      <c r="E117" s="57">
        <f t="shared" si="20"/>
        <v>3808668</v>
      </c>
      <c r="F117" s="57">
        <f t="shared" si="20"/>
        <v>7774848</v>
      </c>
      <c r="G117" s="57">
        <f t="shared" si="20"/>
        <v>27408056</v>
      </c>
      <c r="H117" s="57">
        <f t="shared" si="20"/>
        <v>7407101</v>
      </c>
      <c r="I117" s="57">
        <f t="shared" si="20"/>
        <v>5354317</v>
      </c>
      <c r="J117" s="57">
        <f t="shared" si="20"/>
        <v>19822131</v>
      </c>
      <c r="K117" s="57">
        <f t="shared" si="20"/>
        <v>6667520</v>
      </c>
      <c r="L117" s="57">
        <f t="shared" si="20"/>
        <v>16385215</v>
      </c>
      <c r="M117" s="57">
        <f t="shared" si="20"/>
        <v>1534834</v>
      </c>
      <c r="N117" s="57">
        <f t="shared" si="20"/>
        <v>255205445</v>
      </c>
    </row>
    <row r="118" ht="12" thickTop="1"/>
  </sheetData>
  <sheetProtection/>
  <printOptions/>
  <pageMargins left="0.5" right="0.5" top="0.5" bottom="0.5" header="0.25" footer="0.5"/>
  <pageSetup horizontalDpi="600" verticalDpi="600" orientation="landscape" scale="75" r:id="rId1"/>
  <headerFooter alignWithMargins="0">
    <oddHeader>&amp;L&amp;D&amp;C&amp;F</oddHeader>
    <oddFooter>&amp;L&amp;"Arial,Bold"* The information on this page, as provided by the respective College, is to be used for informational purposes only.  This information has not been audited, and therefore, GCFA can not attest to the accuracy of this information.&amp;C
</oddFooter>
  </headerFooter>
  <rowBreaks count="4" manualBreakCount="4">
    <brk id="22" max="255" man="1"/>
    <brk id="46" max="255" man="1"/>
    <brk id="69" max="255" man="1"/>
    <brk id="92" max="255"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Sponsored Program Expenditures for FY95</dc:title>
  <dc:subject>SP EXP FOR fy95</dc:subject>
  <dc:creator>Stefanie McCubbins</dc:creator>
  <cp:keywords/>
  <dc:description/>
  <cp:lastModifiedBy>Tetik, Carmen</cp:lastModifiedBy>
  <cp:lastPrinted>2015-12-04T15:36:05Z</cp:lastPrinted>
  <dcterms:created xsi:type="dcterms:W3CDTF">1997-10-10T20:56:20Z</dcterms:created>
  <dcterms:modified xsi:type="dcterms:W3CDTF">2015-12-14T20:49:09Z</dcterms:modified>
  <cp:category/>
  <cp:version/>
  <cp:contentType/>
  <cp:contentStatus/>
</cp:coreProperties>
</file>