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215" activeTab="4"/>
  </bookViews>
  <sheets>
    <sheet name="Sponsored Programs" sheetId="1" r:id="rId1"/>
    <sheet name="Research" sheetId="2" r:id="rId2"/>
    <sheet name="Instruction" sheetId="3" r:id="rId3"/>
    <sheet name="Extension" sheetId="4" r:id="rId4"/>
    <sheet name="Supplemental Information" sheetId="5" r:id="rId5"/>
  </sheets>
  <definedNames>
    <definedName name="_xlnm.Print_Area" localSheetId="3">'Extension'!$A$1:$Q$61</definedName>
    <definedName name="_xlnm.Print_Area" localSheetId="2">'Instruction'!$A$1:$R$63</definedName>
    <definedName name="_xlnm.Print_Area" localSheetId="1">'Research'!$A$1:$R$62</definedName>
    <definedName name="_xlnm.Print_Area" localSheetId="0">'Sponsored Programs'!$A$1:$R$65</definedName>
  </definedNames>
  <calcPr fullCalcOnLoad="1"/>
</workbook>
</file>

<file path=xl/sharedStrings.xml><?xml version="1.0" encoding="utf-8"?>
<sst xmlns="http://schemas.openxmlformats.org/spreadsheetml/2006/main" count="506" uniqueCount="102">
  <si>
    <t>Sponsored Program Fund Sources and Expenditures by Agency  (Based on Accrual)</t>
  </si>
  <si>
    <t>Human</t>
  </si>
  <si>
    <t>General</t>
  </si>
  <si>
    <t>Arts &amp;</t>
  </si>
  <si>
    <t>Environ.</t>
  </si>
  <si>
    <t>Veterinary</t>
  </si>
  <si>
    <t>Oklahoma</t>
  </si>
  <si>
    <t>Total</t>
  </si>
  <si>
    <t>University</t>
  </si>
  <si>
    <t>Agriculture</t>
  </si>
  <si>
    <t>Sciences</t>
  </si>
  <si>
    <t>Business</t>
  </si>
  <si>
    <t>Education</t>
  </si>
  <si>
    <t>Engineering</t>
  </si>
  <si>
    <t>Okmulgee</t>
  </si>
  <si>
    <t>Medicine</t>
  </si>
  <si>
    <t>City</t>
  </si>
  <si>
    <t>State</t>
  </si>
  <si>
    <t>(General Support)</t>
  </si>
  <si>
    <t>Ledger 1</t>
  </si>
  <si>
    <t>Direct Cost C/S</t>
  </si>
  <si>
    <t>Station Sales</t>
  </si>
  <si>
    <t>Restricted Fund-OSU</t>
  </si>
  <si>
    <t>Federal Sponsors</t>
  </si>
  <si>
    <t>State Sponsors</t>
  </si>
  <si>
    <t>Private Sponsors</t>
  </si>
  <si>
    <t>Tulsa</t>
  </si>
  <si>
    <t>Fed Appropriations</t>
  </si>
  <si>
    <t>Extension Fund Sources and Expenditures by Agency  (Based on Accrual)</t>
  </si>
  <si>
    <t>Center</t>
  </si>
  <si>
    <t>for Health</t>
  </si>
  <si>
    <t>Station Sale</t>
  </si>
  <si>
    <t>Instruction Fund Sources and Expenditures by Agency  (Based on Accrual)</t>
  </si>
  <si>
    <t>Research Fund Sources and Expenditures by Agency  (Based on Accrual)</t>
  </si>
  <si>
    <t xml:space="preserve"> </t>
  </si>
  <si>
    <t>Voluntary Waived F&amp;A</t>
  </si>
  <si>
    <t>Mandatory Waived F&amp;A</t>
  </si>
  <si>
    <t>Unfunded F&amp;A on C/S</t>
  </si>
  <si>
    <t>Recovered F&amp;A Restricted</t>
  </si>
  <si>
    <t>Part 1 A</t>
  </si>
  <si>
    <t>Part 1 B</t>
  </si>
  <si>
    <t>Part 1 B Continued</t>
  </si>
  <si>
    <t>Page 1</t>
  </si>
  <si>
    <t>Page 2</t>
  </si>
  <si>
    <t>Page 3</t>
  </si>
  <si>
    <t>Page 4</t>
  </si>
  <si>
    <t>Restricted Fund-CIED</t>
  </si>
  <si>
    <t>Restricted-CIED</t>
  </si>
  <si>
    <t xml:space="preserve">Total  </t>
  </si>
  <si>
    <t xml:space="preserve">Reconciliation </t>
  </si>
  <si>
    <t>Research</t>
  </si>
  <si>
    <t>Financial</t>
  </si>
  <si>
    <t>Report</t>
  </si>
  <si>
    <t>Statements</t>
  </si>
  <si>
    <t>Unrestricted</t>
  </si>
  <si>
    <t>Restricted</t>
  </si>
  <si>
    <t>Total per Financial Statements</t>
  </si>
  <si>
    <t>Direct C/S - Instruction</t>
  </si>
  <si>
    <t>EREDF Academic Support</t>
  </si>
  <si>
    <t>Debt Service (SC 9600)</t>
  </si>
  <si>
    <t>Working Fund Adjustment</t>
  </si>
  <si>
    <t>Total per Report</t>
  </si>
  <si>
    <t>Reconciliation</t>
  </si>
  <si>
    <t>Unrestricted Research</t>
  </si>
  <si>
    <t>Restricted Research</t>
  </si>
  <si>
    <t>Sub-total</t>
  </si>
  <si>
    <t>EREDF Academic Spt - NASA Rpt</t>
  </si>
  <si>
    <t>Restricted Instruction</t>
  </si>
  <si>
    <t>Direct C/S</t>
  </si>
  <si>
    <t>Unrestricted Extension</t>
  </si>
  <si>
    <t>Restricted Extension</t>
  </si>
  <si>
    <t>Miscellaneous Adjustment</t>
  </si>
  <si>
    <t>Effective F&amp;A Rate</t>
  </si>
  <si>
    <t>Debt Service (SC 9600/9620)</t>
  </si>
  <si>
    <t>AB45 Accts on C/S - not Ldgr 1 List</t>
  </si>
  <si>
    <t>GASB Adjustment - See Notes</t>
  </si>
  <si>
    <t>FY 2016</t>
  </si>
  <si>
    <t>OSURF</t>
  </si>
  <si>
    <t>Waived F&amp;A</t>
  </si>
  <si>
    <t>Subtotal</t>
  </si>
  <si>
    <t>OSU - STW</t>
  </si>
  <si>
    <t>2017 Research Report Oklahoma State University</t>
  </si>
  <si>
    <t>FY 2017</t>
  </si>
  <si>
    <t>Page 5</t>
  </si>
  <si>
    <t>Part 2 A</t>
  </si>
  <si>
    <t>FY2016</t>
  </si>
  <si>
    <t>Plant Funds</t>
  </si>
  <si>
    <t>OSU Foundation</t>
  </si>
  <si>
    <t>In-kind Contributions</t>
  </si>
  <si>
    <t>Page 6</t>
  </si>
  <si>
    <t>Research Fund Sources and Expenditures by Agency (Based on Accrual)</t>
  </si>
  <si>
    <t>Part 2 B</t>
  </si>
  <si>
    <t>Page 7</t>
  </si>
  <si>
    <t>Part 2 B Continued</t>
  </si>
  <si>
    <t>Page 8</t>
  </si>
  <si>
    <t>Page 9</t>
  </si>
  <si>
    <t xml:space="preserve">  </t>
  </si>
  <si>
    <t>Part 1</t>
  </si>
  <si>
    <t>Part 2 *</t>
  </si>
  <si>
    <t>Summary</t>
  </si>
  <si>
    <t>2016 Research Report Oklahoma State University - For Comparison</t>
  </si>
  <si>
    <t>FY2017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</si>
</sst>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&quot;$&quot;#,##0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33" borderId="0" xfId="0" applyNumberFormat="1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34" borderId="0" xfId="0" applyNumberFormat="1" applyFont="1" applyFill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3" fontId="5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33" borderId="0" xfId="0" applyNumberFormat="1" applyFont="1" applyFill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34" borderId="0" xfId="0" applyNumberFormat="1" applyFont="1" applyFill="1" applyAlignment="1">
      <alignment horizontal="center"/>
    </xf>
    <xf numFmtId="10" fontId="5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5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3" fontId="5" fillId="0" borderId="0" xfId="57" applyNumberFormat="1" applyFont="1">
      <alignment/>
      <protection/>
    </xf>
    <xf numFmtId="3" fontId="4" fillId="0" borderId="0" xfId="57" applyNumberFormat="1" applyFont="1">
      <alignment/>
      <protection/>
    </xf>
    <xf numFmtId="3" fontId="6" fillId="0" borderId="0" xfId="57" applyNumberFormat="1" applyFont="1">
      <alignment/>
      <protection/>
    </xf>
    <xf numFmtId="3" fontId="5" fillId="0" borderId="0" xfId="57" applyNumberFormat="1" applyFont="1" applyAlignment="1">
      <alignment horizontal="right"/>
      <protection/>
    </xf>
    <xf numFmtId="3" fontId="5" fillId="0" borderId="0" xfId="57" applyNumberFormat="1" applyFont="1" applyAlignment="1">
      <alignment horizontal="center"/>
      <protection/>
    </xf>
    <xf numFmtId="3" fontId="4" fillId="0" borderId="0" xfId="57" applyNumberFormat="1" applyFont="1" applyBorder="1">
      <alignment/>
      <protection/>
    </xf>
    <xf numFmtId="3" fontId="5" fillId="33" borderId="0" xfId="57" applyNumberFormat="1" applyFont="1" applyFill="1" applyAlignment="1">
      <alignment horizontal="center"/>
      <protection/>
    </xf>
    <xf numFmtId="3" fontId="5" fillId="0" borderId="0" xfId="57" applyNumberFormat="1" applyFont="1" applyFill="1" applyBorder="1" applyAlignment="1">
      <alignment horizontal="center"/>
      <protection/>
    </xf>
    <xf numFmtId="3" fontId="5" fillId="33" borderId="10" xfId="57" applyNumberFormat="1" applyFont="1" applyFill="1" applyBorder="1" applyAlignment="1">
      <alignment horizontal="center"/>
      <protection/>
    </xf>
    <xf numFmtId="3" fontId="5" fillId="0" borderId="10" xfId="57" applyNumberFormat="1" applyFont="1" applyFill="1" applyBorder="1" applyAlignment="1">
      <alignment horizontal="center"/>
      <protection/>
    </xf>
    <xf numFmtId="3" fontId="4" fillId="0" borderId="0" xfId="57" applyNumberFormat="1" applyFont="1" applyFill="1">
      <alignment/>
      <protection/>
    </xf>
    <xf numFmtId="3" fontId="5" fillId="0" borderId="0" xfId="57" applyNumberFormat="1" applyFont="1" applyFill="1" applyAlignment="1">
      <alignment horizontal="center"/>
      <protection/>
    </xf>
    <xf numFmtId="3" fontId="4" fillId="0" borderId="11" xfId="57" applyNumberFormat="1" applyFont="1" applyBorder="1">
      <alignment/>
      <protection/>
    </xf>
    <xf numFmtId="3" fontId="4" fillId="0" borderId="10" xfId="57" applyNumberFormat="1" applyFont="1" applyFill="1" applyBorder="1">
      <alignment/>
      <protection/>
    </xf>
    <xf numFmtId="3" fontId="4" fillId="0" borderId="10" xfId="57" applyNumberFormat="1" applyFont="1" applyBorder="1">
      <alignment/>
      <protection/>
    </xf>
    <xf numFmtId="3" fontId="4" fillId="0" borderId="12" xfId="57" applyNumberFormat="1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69"/>
  <sheetViews>
    <sheetView zoomScalePageLayoutView="0" workbookViewId="0" topLeftCell="A1">
      <pane xSplit="1" ySplit="6" topLeftCell="E7" activePane="bottomRight" state="frozen"/>
      <selection pane="topLeft" activeCell="O2" sqref="O2"/>
      <selection pane="topRight" activeCell="O2" sqref="O2"/>
      <selection pane="bottomLeft" activeCell="O2" sqref="O2"/>
      <selection pane="bottomRight" activeCell="Q34" sqref="Q34"/>
    </sheetView>
  </sheetViews>
  <sheetFormatPr defaultColWidth="9.140625" defaultRowHeight="12.75" outlineLevelRow="1"/>
  <cols>
    <col min="1" max="1" width="19.00390625" style="2" customWidth="1"/>
    <col min="2" max="2" width="10.57421875" style="2" customWidth="1"/>
    <col min="3" max="3" width="9.8515625" style="2" bestFit="1" customWidth="1"/>
    <col min="4" max="4" width="10.57421875" style="2" customWidth="1"/>
    <col min="5" max="5" width="10.28125" style="2" customWidth="1"/>
    <col min="6" max="6" width="9.7109375" style="2" customWidth="1"/>
    <col min="7" max="7" width="10.57421875" style="2" customWidth="1"/>
    <col min="8" max="8" width="11.140625" style="2" customWidth="1"/>
    <col min="9" max="9" width="10.140625" style="2" customWidth="1"/>
    <col min="10" max="13" width="9.7109375" style="2" customWidth="1"/>
    <col min="14" max="15" width="10.140625" style="2" customWidth="1"/>
    <col min="16" max="16" width="9.7109375" style="2" customWidth="1"/>
    <col min="17" max="17" width="10.00390625" style="2" bestFit="1" customWidth="1"/>
    <col min="18" max="18" width="9.57421875" style="2" bestFit="1" customWidth="1"/>
    <col min="19" max="19" width="9.57421875" style="27" bestFit="1" customWidth="1"/>
    <col min="20" max="16384" width="9.140625" style="2" customWidth="1"/>
  </cols>
  <sheetData>
    <row r="1" spans="1:19" ht="11.25">
      <c r="A1" s="8" t="s">
        <v>81</v>
      </c>
      <c r="H1" s="13"/>
      <c r="Q1" s="32" t="s">
        <v>42</v>
      </c>
      <c r="R1" s="27"/>
      <c r="S1" s="2"/>
    </row>
    <row r="2" spans="1:19" ht="11.25">
      <c r="A2" s="1" t="s">
        <v>0</v>
      </c>
      <c r="R2" s="27"/>
      <c r="S2" s="2"/>
    </row>
    <row r="3" spans="16:19" ht="11.25">
      <c r="P3" s="12"/>
      <c r="Q3" s="27" t="s">
        <v>34</v>
      </c>
      <c r="R3" s="27"/>
      <c r="S3" s="2"/>
    </row>
    <row r="4" spans="1:18" ht="11.25">
      <c r="A4" s="14" t="s">
        <v>39</v>
      </c>
      <c r="B4" s="3"/>
      <c r="C4" s="3"/>
      <c r="D4" s="3"/>
      <c r="E4" s="3"/>
      <c r="F4" s="3"/>
      <c r="G4" s="3"/>
      <c r="H4" s="3" t="s">
        <v>1</v>
      </c>
      <c r="I4" s="3"/>
      <c r="J4" s="3"/>
      <c r="K4" s="3"/>
      <c r="L4" s="42" t="s">
        <v>82</v>
      </c>
      <c r="M4" s="42" t="s">
        <v>76</v>
      </c>
      <c r="N4" s="3"/>
      <c r="O4" s="3"/>
      <c r="P4" s="18" t="s">
        <v>29</v>
      </c>
      <c r="Q4" s="42" t="s">
        <v>82</v>
      </c>
      <c r="R4" s="42" t="s">
        <v>76</v>
      </c>
    </row>
    <row r="5" spans="2:18" ht="11.25">
      <c r="B5" s="3" t="s">
        <v>2</v>
      </c>
      <c r="C5" s="3"/>
      <c r="D5" s="3" t="s">
        <v>3</v>
      </c>
      <c r="E5" s="3"/>
      <c r="F5" s="3"/>
      <c r="G5" s="3"/>
      <c r="H5" s="3" t="s">
        <v>4</v>
      </c>
      <c r="I5" s="3" t="s">
        <v>5</v>
      </c>
      <c r="J5" s="3"/>
      <c r="K5" s="3"/>
      <c r="L5" s="42" t="s">
        <v>80</v>
      </c>
      <c r="M5" s="42" t="s">
        <v>80</v>
      </c>
      <c r="N5" s="3"/>
      <c r="O5" s="3" t="s">
        <v>6</v>
      </c>
      <c r="P5" s="18" t="s">
        <v>30</v>
      </c>
      <c r="Q5" s="33" t="s">
        <v>48</v>
      </c>
      <c r="R5" s="3" t="s">
        <v>7</v>
      </c>
    </row>
    <row r="6" spans="2:18" ht="11.25"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10</v>
      </c>
      <c r="I6" s="4" t="s">
        <v>15</v>
      </c>
      <c r="J6" s="4" t="s">
        <v>26</v>
      </c>
      <c r="K6" s="34" t="s">
        <v>77</v>
      </c>
      <c r="L6" s="42" t="s">
        <v>79</v>
      </c>
      <c r="M6" s="42" t="s">
        <v>79</v>
      </c>
      <c r="N6" s="4" t="s">
        <v>14</v>
      </c>
      <c r="O6" s="4" t="s">
        <v>16</v>
      </c>
      <c r="P6" s="25" t="s">
        <v>10</v>
      </c>
      <c r="Q6" s="34" t="s">
        <v>8</v>
      </c>
      <c r="R6" s="31" t="s">
        <v>8</v>
      </c>
    </row>
    <row r="7" spans="1:19" s="7" customFormat="1" ht="11.25">
      <c r="A7" s="5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8"/>
    </row>
    <row r="8" spans="1:18" ht="11.25" customHeight="1">
      <c r="A8" s="8" t="s">
        <v>18</v>
      </c>
      <c r="B8" s="2">
        <f aca="true" t="shared" si="0" ref="B8:R8">SUM(B9:B13)</f>
        <v>8634086.65</v>
      </c>
      <c r="C8" s="2">
        <f t="shared" si="0"/>
        <v>65975722.96999999</v>
      </c>
      <c r="D8" s="2">
        <f t="shared" si="0"/>
        <v>18407081.559999995</v>
      </c>
      <c r="E8" s="2">
        <f t="shared" si="0"/>
        <v>6206342.6899999995</v>
      </c>
      <c r="F8" s="2">
        <f t="shared" si="0"/>
        <v>6268757.18</v>
      </c>
      <c r="G8" s="2">
        <f t="shared" si="0"/>
        <v>14233483.030000001</v>
      </c>
      <c r="H8" s="2">
        <f t="shared" si="0"/>
        <v>2725422.4499999997</v>
      </c>
      <c r="I8" s="2">
        <f t="shared" si="0"/>
        <v>8874044.579999998</v>
      </c>
      <c r="J8" s="2">
        <f t="shared" si="0"/>
        <v>1441580.41</v>
      </c>
      <c r="K8" s="2">
        <f t="shared" si="0"/>
        <v>1271363.24</v>
      </c>
      <c r="L8" s="2">
        <f t="shared" si="0"/>
        <v>134037884.76</v>
      </c>
      <c r="M8" s="2">
        <f t="shared" si="0"/>
        <v>134384657</v>
      </c>
      <c r="N8" s="2">
        <f>SUM(N9:N13)</f>
        <v>704909.9699999999</v>
      </c>
      <c r="O8" s="2">
        <f>SUM(O9:O13)</f>
        <v>5992366.779999999</v>
      </c>
      <c r="P8" s="2">
        <f>SUM(P9:P13)</f>
        <v>8493467.6</v>
      </c>
      <c r="Q8" s="2">
        <f t="shared" si="0"/>
        <v>149228629.10999998</v>
      </c>
      <c r="R8" s="2">
        <f t="shared" si="0"/>
        <v>145071454</v>
      </c>
    </row>
    <row r="9" spans="1:19" s="7" customFormat="1" ht="11.25" customHeight="1" outlineLevel="1">
      <c r="A9" s="7" t="s">
        <v>19</v>
      </c>
      <c r="B9" s="7">
        <f>SUM(Research!B9+Instruction!B9+Extension!B9)</f>
        <v>7086112.76</v>
      </c>
      <c r="C9" s="7">
        <f>SUM(Research!C9+Instruction!C9+Extension!C9)</f>
        <v>55524750.61</v>
      </c>
      <c r="D9" s="7">
        <f>SUM(Research!D9+Instruction!D9+Extension!D9)</f>
        <v>16906192.4</v>
      </c>
      <c r="E9" s="7">
        <f>SUM(Research!E9+Instruction!E9+Extension!E9)</f>
        <v>6032403.96</v>
      </c>
      <c r="F9" s="7">
        <f>SUM(Research!F9+Instruction!F9+Extension!F9)</f>
        <v>5517023.4</v>
      </c>
      <c r="G9" s="7">
        <f>SUM(Research!G9+Instruction!G9+Extension!G9)</f>
        <v>11921443.69</v>
      </c>
      <c r="H9" s="7">
        <f>SUM(Research!H9+Instruction!H9+Extension!H9)</f>
        <v>1563953.3499999999</v>
      </c>
      <c r="I9" s="7">
        <f>SUM(Research!I9+Instruction!I9+Extension!I9)</f>
        <v>7349305.85</v>
      </c>
      <c r="J9" s="7">
        <f>SUM(Research!J9+Instruction!J9+Extension!J9)</f>
        <v>1390026.72</v>
      </c>
      <c r="K9" s="7">
        <f>Research!K9+Instruction!K9</f>
        <v>1259913.24</v>
      </c>
      <c r="L9" s="7">
        <f>Research!L9+Instruction!L9+Extension!K9</f>
        <v>114551125.97999999</v>
      </c>
      <c r="M9" s="7">
        <f>Research!M9+Instruction!M9+Extension!L9</f>
        <v>114021456</v>
      </c>
      <c r="N9" s="7">
        <f>SUM(Research!N9+Instruction!N9+Extension!M9)</f>
        <v>0</v>
      </c>
      <c r="O9" s="7">
        <f>SUM(Research!O9+Instruction!O9+Extension!N9)</f>
        <v>0</v>
      </c>
      <c r="P9" s="7">
        <f>SUM(Research!P9+Instruction!P9+Extension!O9)</f>
        <v>6890424.21</v>
      </c>
      <c r="Q9" s="7">
        <f>L9+N9+O9+P9</f>
        <v>121441550.18999998</v>
      </c>
      <c r="R9" s="7">
        <f>Research!R9+Instruction!R9+Extension!Q9</f>
        <v>117459778</v>
      </c>
      <c r="S9" s="42"/>
    </row>
    <row r="10" spans="1:19" s="7" customFormat="1" ht="11.25" customHeight="1" outlineLevel="1">
      <c r="A10" s="7" t="s">
        <v>20</v>
      </c>
      <c r="B10" s="7">
        <f>SUM(Research!B10+Instruction!B10+Extension!B10)</f>
        <v>9250</v>
      </c>
      <c r="C10" s="7">
        <f>SUM(Research!C10+Instruction!C10+Extension!C10)</f>
        <v>671641.29</v>
      </c>
      <c r="D10" s="7">
        <f>SUM(Research!D10+Instruction!D10+Extension!D10)</f>
        <v>239583.9</v>
      </c>
      <c r="E10" s="7">
        <f>SUM(Research!E10+Instruction!E10+Extension!E10)</f>
        <v>0</v>
      </c>
      <c r="F10" s="7">
        <f>SUM(Research!F10+Instruction!F10+Extension!F10)</f>
        <v>221061.62</v>
      </c>
      <c r="G10" s="7">
        <f>SUM(Research!G10+Instruction!G10+Extension!G10)</f>
        <v>218444.23</v>
      </c>
      <c r="H10" s="7">
        <f>SUM(Research!H10+Instruction!H10+Extension!H10)</f>
        <v>67330.42</v>
      </c>
      <c r="I10" s="7">
        <f>SUM(Research!I10+Instruction!I10+Extension!I10)</f>
        <v>386128.27</v>
      </c>
      <c r="J10" s="7">
        <f>SUM(Research!J10+Instruction!J10+Extension!J10)</f>
        <v>34461.02</v>
      </c>
      <c r="K10" s="7">
        <f>Research!K10+Instruction!K10</f>
        <v>0</v>
      </c>
      <c r="L10" s="7">
        <f>Research!L10+Instruction!L10+Extension!K10</f>
        <v>1847900.75</v>
      </c>
      <c r="M10" s="7">
        <f>Research!M10+Instruction!M10+Extension!L10</f>
        <v>2700672</v>
      </c>
      <c r="N10" s="7">
        <f>SUM(Research!N10+Instruction!N10+Extension!M10)</f>
        <v>0</v>
      </c>
      <c r="O10" s="7">
        <f>SUM(Research!O10+Instruction!O10+Extension!N10)</f>
        <v>0</v>
      </c>
      <c r="P10" s="7">
        <f>SUM(Research!P10+Instruction!P10+Extension!O10)</f>
        <v>619431.73</v>
      </c>
      <c r="Q10" s="7">
        <f>L10+N10+O10+P10</f>
        <v>2467332.48</v>
      </c>
      <c r="R10" s="7">
        <f>Research!R10+Instruction!R10+Extension!Q10</f>
        <v>3384511</v>
      </c>
      <c r="S10" s="28"/>
    </row>
    <row r="11" spans="1:19" ht="11.25" outlineLevel="1">
      <c r="A11" s="2" t="s">
        <v>21</v>
      </c>
      <c r="B11" s="2">
        <f>SUM(Research!B11+Instruction!B11+Extension!B11)</f>
        <v>65268.25</v>
      </c>
      <c r="C11" s="2">
        <f>SUM(Research!C11+Instruction!C11+Extension!C11)</f>
        <v>5901171.54</v>
      </c>
      <c r="D11" s="2">
        <f>SUM(Research!D11+Instruction!D11+Extension!D11)</f>
        <v>0</v>
      </c>
      <c r="E11" s="2">
        <f>SUM(Research!E11+Instruction!E11+Extension!E11)</f>
        <v>0</v>
      </c>
      <c r="F11" s="2">
        <f>SUM(Research!F11+Instruction!F11+Extension!F11)</f>
        <v>0</v>
      </c>
      <c r="G11" s="2">
        <f>SUM(Research!G11+Instruction!G11+Extension!G11)</f>
        <v>0</v>
      </c>
      <c r="H11" s="2">
        <f>SUM(Research!H11+Instruction!H11+Extension!H11)</f>
        <v>0</v>
      </c>
      <c r="I11" s="2">
        <f>SUM(Research!I11+Instruction!I11+Extension!I11)</f>
        <v>0</v>
      </c>
      <c r="J11" s="2">
        <f>SUM(Research!J11+Instruction!J11+Extension!J11)</f>
        <v>0</v>
      </c>
      <c r="K11" s="7">
        <f>Research!K11+Instruction!K11</f>
        <v>0</v>
      </c>
      <c r="L11" s="7">
        <f>Research!L11+Instruction!L11+Extension!K11</f>
        <v>5966439.79</v>
      </c>
      <c r="M11" s="7">
        <f>Research!M11+Instruction!M11+Extension!L11</f>
        <v>7149478</v>
      </c>
      <c r="N11" s="2">
        <f>SUM(Research!N11+Instruction!N11+Extension!M11)</f>
        <v>0</v>
      </c>
      <c r="O11" s="2">
        <f>SUM(Research!O11+Instruction!O11+Extension!N11)</f>
        <v>0</v>
      </c>
      <c r="P11" s="2">
        <f>SUM(Research!P11+Instruction!P11+Extension!O11)</f>
        <v>0</v>
      </c>
      <c r="Q11" s="7">
        <f>L11+N11+O11+P11</f>
        <v>5966439.79</v>
      </c>
      <c r="R11" s="7">
        <f>Research!R11+Instruction!R11+Extension!Q11</f>
        <v>7149478</v>
      </c>
      <c r="S11" s="43"/>
    </row>
    <row r="12" spans="1:19" ht="11.25" outlineLevel="1">
      <c r="A12" s="2" t="s">
        <v>78</v>
      </c>
      <c r="B12" s="2">
        <f>SUM(Research!B12+Instruction!B12+Extension!B12)</f>
        <v>1468867.6400000001</v>
      </c>
      <c r="C12" s="2">
        <f>SUM(Research!C12+Instruction!C12+Extension!C12)</f>
        <v>3623607.48</v>
      </c>
      <c r="D12" s="2">
        <f>SUM(Research!D12+Instruction!D12+Extension!D12)</f>
        <v>1142385.6099999999</v>
      </c>
      <c r="E12" s="2">
        <f>SUM(Research!E12+Instruction!E12+Extension!E12)</f>
        <v>173938.72999999998</v>
      </c>
      <c r="F12" s="2">
        <f>SUM(Research!F12+Instruction!F12+Extension!F12)</f>
        <v>421025.6</v>
      </c>
      <c r="G12" s="2">
        <f>SUM(Research!G12+Instruction!G12+Extension!G12)</f>
        <v>1991914.29</v>
      </c>
      <c r="H12" s="2">
        <f>SUM(Research!H12+Instruction!H12+Extension!H12)</f>
        <v>1060013.62</v>
      </c>
      <c r="I12" s="2">
        <f>SUM(Research!I12+Instruction!I12+Extension!I12)</f>
        <v>947090.84</v>
      </c>
      <c r="J12" s="2">
        <f>SUM(Research!J12+Instruction!J12+Extension!J12)</f>
        <v>0</v>
      </c>
      <c r="K12" s="7">
        <f>Research!K12+Instruction!K12</f>
        <v>11450</v>
      </c>
      <c r="L12" s="7">
        <f>Research!L12+Instruction!L12+Extension!K12</f>
        <v>10840293.81</v>
      </c>
      <c r="M12" s="7">
        <f>Research!M12+Instruction!M12+Extension!L12</f>
        <v>9310493</v>
      </c>
      <c r="N12" s="2">
        <f>SUM(Research!N12+Instruction!N12+Extension!M12)</f>
        <v>704909.9699999999</v>
      </c>
      <c r="O12" s="2">
        <f>SUM(Research!O12+Instruction!O12+Extension!N12)</f>
        <v>5992366.779999999</v>
      </c>
      <c r="P12" s="2">
        <f>SUM(Research!P12+Instruction!P12+Extension!O12)</f>
        <v>812648.5</v>
      </c>
      <c r="Q12" s="7">
        <f>L12+N12+O12+P12</f>
        <v>18350219.060000002</v>
      </c>
      <c r="R12" s="7">
        <f>Research!R12+Instruction!R12+Extension!Q12</f>
        <v>15685705</v>
      </c>
      <c r="S12" s="42"/>
    </row>
    <row r="13" spans="1:19" ht="11.25" outlineLevel="1">
      <c r="A13" s="15" t="s">
        <v>37</v>
      </c>
      <c r="B13" s="2">
        <f>SUM(Research!B13+Instruction!B13+Extension!B13)</f>
        <v>4588</v>
      </c>
      <c r="C13" s="7">
        <f>SUM(Research!C13+Instruction!C13+Extension!C13)</f>
        <v>254552.05</v>
      </c>
      <c r="D13" s="2">
        <f>SUM(Research!D13+Instruction!D13+Extension!D13)</f>
        <v>118919.65000000001</v>
      </c>
      <c r="E13" s="2">
        <f>SUM(Research!E13+Instruction!E13+Extension!E13)</f>
        <v>0</v>
      </c>
      <c r="F13" s="2">
        <f>SUM(Research!F13+Instruction!F13+Extension!F13)</f>
        <v>109646.56</v>
      </c>
      <c r="G13" s="2">
        <f>SUM(Research!G13+Instruction!G13+Extension!G13)</f>
        <v>101680.82</v>
      </c>
      <c r="H13" s="2">
        <f>SUM(Research!H13+Instruction!H13+Extension!H13)</f>
        <v>34125.06</v>
      </c>
      <c r="I13" s="2">
        <f>SUM(Research!I13+Instruction!I13+Extension!I13)</f>
        <v>191519.62</v>
      </c>
      <c r="J13" s="2">
        <f>SUM(Research!J13+Instruction!J13+Extension!J13)</f>
        <v>17092.67</v>
      </c>
      <c r="K13" s="7">
        <f>Research!K13+Instruction!K13</f>
        <v>0</v>
      </c>
      <c r="L13" s="7">
        <f>Research!L13+Instruction!L13+Extension!K13</f>
        <v>832124.4299999999</v>
      </c>
      <c r="M13" s="7">
        <f>Research!M13+Instruction!M13+Extension!L13</f>
        <v>1202558</v>
      </c>
      <c r="N13" s="2">
        <f>SUM(Research!N13+Instruction!N13+Extension!M13)</f>
        <v>0</v>
      </c>
      <c r="O13" s="2">
        <f>SUM(Research!O13+Instruction!O13+Extension!N13)</f>
        <v>0</v>
      </c>
      <c r="P13" s="2">
        <f>SUM(Research!P13+Instruction!P13+Extension!O13)</f>
        <v>170963.16</v>
      </c>
      <c r="Q13" s="7">
        <f>L13+N13+O13+P13</f>
        <v>1003087.59</v>
      </c>
      <c r="R13" s="7">
        <f>Research!R13+Instruction!R13+Extension!Q13</f>
        <v>1391982</v>
      </c>
      <c r="S13" s="18"/>
    </row>
    <row r="15" spans="1:18" ht="11.25">
      <c r="A15" s="1" t="s">
        <v>25</v>
      </c>
      <c r="B15" s="2">
        <f aca="true" t="shared" si="1" ref="B15:R15">SUM(B16:B18)</f>
        <v>677179.84</v>
      </c>
      <c r="C15" s="2">
        <f t="shared" si="1"/>
        <v>3205890.87</v>
      </c>
      <c r="D15" s="2">
        <f t="shared" si="1"/>
        <v>1509133.45</v>
      </c>
      <c r="E15" s="2">
        <f t="shared" si="1"/>
        <v>344401.52</v>
      </c>
      <c r="F15" s="2">
        <f t="shared" si="1"/>
        <v>399777.35000000003</v>
      </c>
      <c r="G15" s="2">
        <f t="shared" si="1"/>
        <v>1753678.28</v>
      </c>
      <c r="H15" s="2">
        <f t="shared" si="1"/>
        <v>857859.3600000001</v>
      </c>
      <c r="I15" s="2">
        <f t="shared" si="1"/>
        <v>3440118.97</v>
      </c>
      <c r="J15" s="2">
        <f t="shared" si="1"/>
        <v>0</v>
      </c>
      <c r="K15" s="2">
        <f t="shared" si="1"/>
        <v>101388</v>
      </c>
      <c r="L15" s="2">
        <f t="shared" si="1"/>
        <v>12289427.64</v>
      </c>
      <c r="M15" s="2">
        <f t="shared" si="1"/>
        <v>13329968</v>
      </c>
      <c r="N15" s="2">
        <f>SUM(N16:N18)</f>
        <v>189772.68</v>
      </c>
      <c r="O15" s="2">
        <f>SUM(O16:O18)</f>
        <v>1384600.25</v>
      </c>
      <c r="P15" s="2">
        <f>SUM(P16:P18)</f>
        <v>2126243.01</v>
      </c>
      <c r="Q15" s="2">
        <f t="shared" si="1"/>
        <v>15990043.58</v>
      </c>
      <c r="R15" s="2">
        <f t="shared" si="1"/>
        <v>14285811</v>
      </c>
    </row>
    <row r="16" spans="1:19" ht="11.25" outlineLevel="1">
      <c r="A16" s="2" t="s">
        <v>22</v>
      </c>
      <c r="B16" s="2">
        <f>SUM(Research!B16+Instruction!B16+Extension!B16)</f>
        <v>674481.89</v>
      </c>
      <c r="C16" s="2">
        <f>SUM(Research!C16+Instruction!C16+Extension!C16)</f>
        <v>2972612.33</v>
      </c>
      <c r="D16" s="2">
        <f>SUM(Research!D16+Instruction!D16+Extension!D16)</f>
        <v>1324827.43</v>
      </c>
      <c r="E16" s="2">
        <f>SUM(Research!E16+Instruction!E16+Extension!E16)</f>
        <v>247911.91</v>
      </c>
      <c r="F16" s="2">
        <f>SUM(Research!F16+Instruction!F16+Extension!F16)</f>
        <v>386799.80000000005</v>
      </c>
      <c r="G16" s="2">
        <f>SUM(Research!G16+Instruction!G16+Extension!G16)</f>
        <v>1459992.01</v>
      </c>
      <c r="H16" s="2">
        <f>SUM(Research!H16+Instruction!H16+Extension!H16)</f>
        <v>802460.8300000001</v>
      </c>
      <c r="I16" s="2">
        <f>SUM(Research!I16+Instruction!I16+Extension!I16)</f>
        <v>2968987.08</v>
      </c>
      <c r="J16" s="2">
        <f>SUM(Research!J16+Instruction!J16+Extension!J16)</f>
        <v>0</v>
      </c>
      <c r="K16" s="7">
        <f>Research!K16+Instruction!K16</f>
        <v>51388</v>
      </c>
      <c r="L16" s="7">
        <f>Research!L16+Instruction!L16+Extension!K16</f>
        <v>10889461.280000001</v>
      </c>
      <c r="M16" s="7">
        <f>Research!M16+Instruction!M16+Extension!L16</f>
        <v>11836581</v>
      </c>
      <c r="N16" s="2">
        <f>SUM(Research!N16+Instruction!N16+Extension!M16)</f>
        <v>189772.68</v>
      </c>
      <c r="O16" s="2">
        <f>SUM(Research!O16+Instruction!O16+Extension!N16)</f>
        <v>1384600.25</v>
      </c>
      <c r="P16" s="2">
        <f>SUM(Research!P16+Instruction!P16+Extension!O16)</f>
        <v>2104782.36</v>
      </c>
      <c r="Q16" s="7">
        <f>L16+N16+O16+P16</f>
        <v>14568616.57</v>
      </c>
      <c r="R16" s="7">
        <f>Research!R16+Instruction!R16+Extension!Q16</f>
        <v>12779892</v>
      </c>
      <c r="S16" s="43"/>
    </row>
    <row r="17" spans="1:18" ht="11.25" outlineLevel="1">
      <c r="A17" s="2" t="s">
        <v>46</v>
      </c>
      <c r="B17" s="2">
        <f>SUM(Research!B17+Instruction!B17+Extension!B17)</f>
        <v>0</v>
      </c>
      <c r="C17" s="2">
        <f>SUM(Research!C17+Instruction!C17+Extension!C17)</f>
        <v>0</v>
      </c>
      <c r="D17" s="2">
        <f>SUM(Research!D17+Instruction!D17+Extension!D17)</f>
        <v>0</v>
      </c>
      <c r="E17" s="2">
        <f>SUM(Research!E17+Instruction!E17+Extension!E17)</f>
        <v>0</v>
      </c>
      <c r="F17" s="2">
        <f>SUM(Research!F17+Instruction!F17+Extension!F17)</f>
        <v>0</v>
      </c>
      <c r="G17" s="2">
        <f>SUM(Research!G17+Instruction!G17+Extension!G17)</f>
        <v>0</v>
      </c>
      <c r="H17" s="2">
        <f>SUM(Research!H17+Instruction!H17+Extension!H17)</f>
        <v>0</v>
      </c>
      <c r="I17" s="2">
        <f>SUM(Research!I17+Instruction!I17+Extension!I17)</f>
        <v>0</v>
      </c>
      <c r="J17" s="2">
        <f>SUM(Research!J17+Instruction!J17+Extension!J17)</f>
        <v>0</v>
      </c>
      <c r="K17" s="7">
        <f>Research!K17+Instruction!K17</f>
        <v>50000</v>
      </c>
      <c r="L17" s="7">
        <f>Research!L17+Instruction!L17+Extension!K17</f>
        <v>50000</v>
      </c>
      <c r="M17" s="7">
        <f>Research!M17+Instruction!M17+Extension!L17</f>
        <v>17087</v>
      </c>
      <c r="N17" s="2">
        <f>SUM(Research!N17+Instruction!N17+Extension!M17)</f>
        <v>0</v>
      </c>
      <c r="O17" s="2">
        <f>SUM(Research!O17+Instruction!O17+Extension!N17)</f>
        <v>0</v>
      </c>
      <c r="P17" s="2">
        <f>SUM(Research!P17+Instruction!P17+Extension!O17)</f>
        <v>0</v>
      </c>
      <c r="Q17" s="7">
        <f>L17+N17+O17+P17</f>
        <v>50000</v>
      </c>
      <c r="R17" s="7">
        <f>Research!R17+Instruction!R17+Extension!Q17</f>
        <v>17087</v>
      </c>
    </row>
    <row r="18" spans="1:18" ht="11.25" outlineLevel="1">
      <c r="A18" s="15" t="s">
        <v>38</v>
      </c>
      <c r="B18" s="2">
        <f>SUM(Research!B18+Instruction!B18+Extension!B18)</f>
        <v>2697.95</v>
      </c>
      <c r="C18" s="2">
        <f>SUM(Research!C18+Instruction!C18+Extension!C18)</f>
        <v>233278.53999999998</v>
      </c>
      <c r="D18" s="2">
        <f>SUM(Research!D18+Instruction!D18+Extension!D18)</f>
        <v>184306.02</v>
      </c>
      <c r="E18" s="2">
        <f>SUM(Research!E18+Instruction!E18+Extension!E18)</f>
        <v>96489.61</v>
      </c>
      <c r="F18" s="2">
        <f>SUM(Research!F18+Instruction!F18+Extension!F18)</f>
        <v>12977.55</v>
      </c>
      <c r="G18" s="2">
        <f>SUM(Research!G18+Instruction!G18+Extension!G18)</f>
        <v>293686.27</v>
      </c>
      <c r="H18" s="2">
        <f>SUM(Research!H18+Instruction!H18+Extension!H18)</f>
        <v>55398.53</v>
      </c>
      <c r="I18" s="2">
        <f>SUM(Research!I18+Instruction!I18+Extension!I18)</f>
        <v>471131.89</v>
      </c>
      <c r="J18" s="2">
        <f>SUM(Research!J18+Instruction!J18+Extension!J18)</f>
        <v>0</v>
      </c>
      <c r="K18" s="7">
        <f>Research!K18+Instruction!K18</f>
        <v>0</v>
      </c>
      <c r="L18" s="7">
        <f>Research!L18+Instruction!L18+Extension!K18</f>
        <v>1349966.36</v>
      </c>
      <c r="M18" s="7">
        <f>Research!M18+Instruction!M18+Extension!L18</f>
        <v>1476300</v>
      </c>
      <c r="N18" s="2">
        <f>SUM(Research!N18+Instruction!N18+Extension!M18)</f>
        <v>0</v>
      </c>
      <c r="O18" s="2">
        <f>SUM(Research!O18+Instruction!O18+Extension!N18)</f>
        <v>0</v>
      </c>
      <c r="P18" s="2">
        <f>SUM(Research!P18+Instruction!P18+Extension!O18)</f>
        <v>21460.65</v>
      </c>
      <c r="Q18" s="7">
        <f>L18+N18+O18+P18</f>
        <v>1371427.01</v>
      </c>
      <c r="R18" s="7">
        <f>Research!R18+Instruction!R18+Extension!Q18</f>
        <v>1488832</v>
      </c>
    </row>
    <row r="20" spans="1:18" ht="11.25">
      <c r="A20" s="1" t="s">
        <v>23</v>
      </c>
      <c r="B20" s="2">
        <f aca="true" t="shared" si="2" ref="B20:R20">SUM(B21:B23)</f>
        <v>8820844.68</v>
      </c>
      <c r="C20" s="2">
        <f t="shared" si="2"/>
        <v>11305392.219999999</v>
      </c>
      <c r="D20" s="2">
        <f t="shared" si="2"/>
        <v>8511738.459999999</v>
      </c>
      <c r="E20" s="2">
        <f t="shared" si="2"/>
        <v>117118.47</v>
      </c>
      <c r="F20" s="2">
        <f t="shared" si="2"/>
        <v>5466690.45</v>
      </c>
      <c r="G20" s="2">
        <f t="shared" si="2"/>
        <v>9919572.24</v>
      </c>
      <c r="H20" s="2">
        <f t="shared" si="2"/>
        <v>6122890.9399999995</v>
      </c>
      <c r="I20" s="2">
        <f t="shared" si="2"/>
        <v>4796167.26</v>
      </c>
      <c r="J20" s="2">
        <f t="shared" si="2"/>
        <v>0</v>
      </c>
      <c r="K20" s="2">
        <f t="shared" si="2"/>
        <v>7312131</v>
      </c>
      <c r="L20" s="2">
        <f t="shared" si="2"/>
        <v>62372545.720000006</v>
      </c>
      <c r="M20" s="2">
        <f t="shared" si="2"/>
        <v>60107363</v>
      </c>
      <c r="N20" s="2">
        <f>SUM(N21:N23)</f>
        <v>1814940.5</v>
      </c>
      <c r="O20" s="2">
        <f>SUM(O21:O23)</f>
        <v>19371251.96</v>
      </c>
      <c r="P20" s="2">
        <f>SUM(P21:P23)</f>
        <v>6497204.89</v>
      </c>
      <c r="Q20" s="2">
        <f t="shared" si="2"/>
        <v>90055943.07000001</v>
      </c>
      <c r="R20" s="2">
        <f t="shared" si="2"/>
        <v>89579866</v>
      </c>
    </row>
    <row r="21" spans="1:19" ht="11.25" outlineLevel="1">
      <c r="A21" s="2" t="s">
        <v>22</v>
      </c>
      <c r="B21" s="2">
        <f>SUM(Research!B21+Instruction!B21+Extension!B21)</f>
        <v>8288543.25</v>
      </c>
      <c r="C21" s="2">
        <f>SUM(Research!C21+Instruction!C21+Extension!C21)</f>
        <v>9239658.79</v>
      </c>
      <c r="D21" s="2">
        <f>SUM(Research!D21+Instruction!D21+Extension!D21)</f>
        <v>6818381.39</v>
      </c>
      <c r="E21" s="2">
        <f>SUM(Research!E21+Instruction!E21+Extension!E21)</f>
        <v>95522.89</v>
      </c>
      <c r="F21" s="2">
        <f>SUM(Research!F21+Instruction!F21+Extension!F21)</f>
        <v>456831.16000000003</v>
      </c>
      <c r="G21" s="2">
        <f>SUM(Research!G21+Instruction!G21+Extension!G21)</f>
        <v>7828009.24</v>
      </c>
      <c r="H21" s="2">
        <f>SUM(Research!H21+Instruction!H21+Extension!H21)</f>
        <v>4597927.22</v>
      </c>
      <c r="I21" s="2">
        <f>SUM(Research!I21+Instruction!I21+Extension!I21)</f>
        <v>3546836.48</v>
      </c>
      <c r="J21" s="2">
        <f>SUM(Research!J21+Instruction!J21+Extension!J21)</f>
        <v>0</v>
      </c>
      <c r="K21" s="7">
        <f>Research!K21+Instruction!K21</f>
        <v>7312131</v>
      </c>
      <c r="L21" s="7">
        <f>Research!L21+Instruction!L21+Extension!K21</f>
        <v>48183841.42000001</v>
      </c>
      <c r="M21" s="7">
        <f>Research!M21+Instruction!M21+Extension!L21</f>
        <v>41354168</v>
      </c>
      <c r="N21" s="2">
        <f>SUM(Research!N21+Instruction!N21+Extension!M21)</f>
        <v>1549761.4200000002</v>
      </c>
      <c r="O21" s="2">
        <f>SUM(Research!O21+Instruction!O21+Extension!N21)</f>
        <v>18650892.09</v>
      </c>
      <c r="P21" s="2">
        <f>SUM(Research!P21+Instruction!P21+Extension!O21)</f>
        <v>5647065.279999999</v>
      </c>
      <c r="Q21" s="7">
        <f>L21+N21+O21+P21</f>
        <v>74031560.21000001</v>
      </c>
      <c r="R21" s="7">
        <f>Research!R21+Instruction!R21+Extension!Q21</f>
        <v>68533406</v>
      </c>
      <c r="S21" s="43"/>
    </row>
    <row r="22" spans="1:18" ht="11.25" outlineLevel="1">
      <c r="A22" s="2" t="s">
        <v>46</v>
      </c>
      <c r="B22" s="2">
        <f>SUM(Research!B22+Instruction!B22+Extension!B22)</f>
        <v>0</v>
      </c>
      <c r="C22" s="2">
        <f>SUM(Research!C22+Instruction!C22+Extension!C22)</f>
        <v>0</v>
      </c>
      <c r="D22" s="2">
        <f>SUM(Research!D22+Instruction!D22+Extension!D22)</f>
        <v>0</v>
      </c>
      <c r="E22" s="2">
        <f>SUM(Research!E22+Instruction!E22+Extension!E22)</f>
        <v>0</v>
      </c>
      <c r="F22" s="2">
        <f>SUM(Research!F22+Instruction!F22+Extension!F22)</f>
        <v>4127925.54</v>
      </c>
      <c r="G22" s="2">
        <f>SUM(Research!G22+Instruction!G22+Extension!G22)</f>
        <v>0</v>
      </c>
      <c r="H22" s="2">
        <f>SUM(Research!H22+Instruction!H22+Extension!H22)</f>
        <v>0</v>
      </c>
      <c r="I22" s="2">
        <f>SUM(Research!I22+Instruction!I22+Extension!I22)</f>
        <v>0</v>
      </c>
      <c r="J22" s="2">
        <f>SUM(Research!J22+Instruction!J22+Extension!J22)</f>
        <v>0</v>
      </c>
      <c r="K22" s="7">
        <f>Research!K22+Instruction!K22</f>
        <v>0</v>
      </c>
      <c r="L22" s="7">
        <f>Research!L22+Instruction!L22+Extension!K22</f>
        <v>4127925.54</v>
      </c>
      <c r="M22" s="7">
        <f>Research!M22+Instruction!M22+Extension!L22</f>
        <v>9859382</v>
      </c>
      <c r="N22" s="2">
        <f>SUM(Research!N22+Instruction!N22+Extension!M22)</f>
        <v>0</v>
      </c>
      <c r="O22" s="2">
        <f>SUM(Research!O22+Instruction!O22+Extension!N22)</f>
        <v>0</v>
      </c>
      <c r="P22" s="2">
        <f>SUM(Research!P22+Instruction!P22+Extension!O22)</f>
        <v>0</v>
      </c>
      <c r="Q22" s="7">
        <f>L22+N22+O22+P22</f>
        <v>4127925.54</v>
      </c>
      <c r="R22" s="7">
        <f>Research!R22+Instruction!R22+Extension!Q22</f>
        <v>9859382</v>
      </c>
    </row>
    <row r="23" spans="1:18" ht="11.25" outlineLevel="1">
      <c r="A23" s="15" t="s">
        <v>38</v>
      </c>
      <c r="B23" s="2">
        <f>SUM(Research!B23+Instruction!B23+Extension!B23)</f>
        <v>532301.4299999999</v>
      </c>
      <c r="C23" s="2">
        <f>SUM(Research!C23+Instruction!C23+Extension!C23)</f>
        <v>2065733.4300000002</v>
      </c>
      <c r="D23" s="2">
        <f>SUM(Research!D23+Instruction!D23+Extension!D23)</f>
        <v>1693357.07</v>
      </c>
      <c r="E23" s="2">
        <f>SUM(Research!E23+Instruction!E23+Extension!E23)</f>
        <v>21595.58</v>
      </c>
      <c r="F23" s="2">
        <f>SUM(Research!F23+Instruction!F23+Extension!F23)</f>
        <v>881933.75</v>
      </c>
      <c r="G23" s="2">
        <f>SUM(Research!G23+Instruction!G23+Extension!G23)</f>
        <v>2091563</v>
      </c>
      <c r="H23" s="2">
        <f>SUM(Research!H23+Instruction!H23+Extension!H23)</f>
        <v>1524963.72</v>
      </c>
      <c r="I23" s="2">
        <f>SUM(Research!I23+Instruction!I23+Extension!I23)</f>
        <v>1249330.7799999998</v>
      </c>
      <c r="J23" s="2">
        <f>SUM(Research!J23+Instruction!J23+Extension!J23)</f>
        <v>0</v>
      </c>
      <c r="K23" s="7">
        <f>Research!K23+Instruction!K23</f>
        <v>0</v>
      </c>
      <c r="L23" s="7">
        <f>Research!L23+Instruction!L23+Extension!K23</f>
        <v>10060778.76</v>
      </c>
      <c r="M23" s="7">
        <f>Research!M23+Instruction!M23+Extension!L23</f>
        <v>8893813</v>
      </c>
      <c r="N23" s="2">
        <f>SUM(Research!N23+Instruction!N23+Extension!M23)</f>
        <v>265179.07999999996</v>
      </c>
      <c r="O23" s="2">
        <f>SUM(Research!O23+Instruction!O23+Extension!N23)</f>
        <v>720359.87</v>
      </c>
      <c r="P23" s="2">
        <f>SUM(Research!P23+Instruction!P23+Extension!O23)</f>
        <v>850139.61</v>
      </c>
      <c r="Q23" s="7">
        <f>L23+N23+O23+P23</f>
        <v>11896457.319999998</v>
      </c>
      <c r="R23" s="7">
        <f>Research!R23+Instruction!R23+Extension!Q23</f>
        <v>11187078</v>
      </c>
    </row>
    <row r="25" spans="1:18" ht="11.25">
      <c r="A25" s="1" t="s">
        <v>24</v>
      </c>
      <c r="B25" s="2">
        <f aca="true" t="shared" si="3" ref="B25:M25">SUM(B26:B28)</f>
        <v>1667475.0799999998</v>
      </c>
      <c r="C25" s="2">
        <f t="shared" si="3"/>
        <v>2438278.2</v>
      </c>
      <c r="D25" s="2">
        <f t="shared" si="3"/>
        <v>684963.38</v>
      </c>
      <c r="E25" s="2">
        <f t="shared" si="3"/>
        <v>63111.92</v>
      </c>
      <c r="F25" s="2">
        <f t="shared" si="3"/>
        <v>247646.83000000002</v>
      </c>
      <c r="G25" s="2">
        <f t="shared" si="3"/>
        <v>1824191.76</v>
      </c>
      <c r="H25" s="2">
        <f t="shared" si="3"/>
        <v>757384.4500000001</v>
      </c>
      <c r="I25" s="2">
        <f t="shared" si="3"/>
        <v>121255.22</v>
      </c>
      <c r="J25" s="2">
        <f t="shared" si="3"/>
        <v>0</v>
      </c>
      <c r="K25" s="2">
        <f t="shared" si="3"/>
        <v>74577</v>
      </c>
      <c r="L25" s="2">
        <f t="shared" si="3"/>
        <v>7878883.840000001</v>
      </c>
      <c r="M25" s="2">
        <f t="shared" si="3"/>
        <v>9842895</v>
      </c>
      <c r="N25" s="2">
        <f>SUM(N26:N28)</f>
        <v>54562.46</v>
      </c>
      <c r="O25" s="2">
        <f>SUM(O26:O28)</f>
        <v>33698.67</v>
      </c>
      <c r="P25" s="2">
        <f>SUM(P26:P28)</f>
        <v>2319657.07</v>
      </c>
      <c r="Q25" s="2">
        <f>SUM(Q26:Q28)</f>
        <v>10286802.04</v>
      </c>
      <c r="R25" s="2">
        <f>SUM(R26:R28)</f>
        <v>10019417</v>
      </c>
    </row>
    <row r="26" spans="1:19" ht="11.25" outlineLevel="1">
      <c r="A26" s="2" t="s">
        <v>22</v>
      </c>
      <c r="B26" s="2">
        <f>SUM(Research!B26+Instruction!B26+Extension!B26)</f>
        <v>1549255.44</v>
      </c>
      <c r="C26" s="2">
        <f>SUM(Research!C26+Instruction!C26+Extension!C26)</f>
        <v>2428499.2800000003</v>
      </c>
      <c r="D26" s="2">
        <f>SUM(Research!D26+Instruction!D26+Extension!D26)</f>
        <v>645976.55</v>
      </c>
      <c r="E26" s="2">
        <f>SUM(Research!E26+Instruction!E26+Extension!E26)</f>
        <v>63111.92</v>
      </c>
      <c r="F26" s="2">
        <f>SUM(Research!F26+Instruction!F26+Extension!F26)</f>
        <v>179097.92</v>
      </c>
      <c r="G26" s="2">
        <f>SUM(Research!G26+Instruction!G26+Extension!G26)</f>
        <v>1721136.21</v>
      </c>
      <c r="H26" s="2">
        <f>SUM(Research!H26+Instruction!H26+Extension!H26)</f>
        <v>694717.54</v>
      </c>
      <c r="I26" s="2">
        <f>SUM(Research!I26+Instruction!I26+Extension!I26)</f>
        <v>121287.62</v>
      </c>
      <c r="J26" s="2">
        <f>SUM(Research!J26+Instruction!J26+Extension!J26)</f>
        <v>0</v>
      </c>
      <c r="K26" s="7">
        <f>Research!K26+Instruction!K26</f>
        <v>74577</v>
      </c>
      <c r="L26" s="7">
        <f>Research!L26+Instruction!L26+Extension!K26</f>
        <v>7477659.48</v>
      </c>
      <c r="M26" s="7">
        <f>Research!M26+Instruction!M26+Extension!L26</f>
        <v>9286510</v>
      </c>
      <c r="N26" s="2">
        <f>SUM(Research!N26+Instruction!N26+Extension!M26)</f>
        <v>54562.46</v>
      </c>
      <c r="O26" s="2">
        <f>SUM(Research!O26+Instruction!O26+Extension!N26)</f>
        <v>33698.67</v>
      </c>
      <c r="P26" s="2">
        <f>SUM(Research!P26+Instruction!P26+Extension!O26)</f>
        <v>2277175.57</v>
      </c>
      <c r="Q26" s="7">
        <f>L26+N26+O26+P26</f>
        <v>9843096.18</v>
      </c>
      <c r="R26" s="7">
        <f>Research!R26+Instruction!R26+Extension!Q26</f>
        <v>9435343</v>
      </c>
      <c r="S26" s="43"/>
    </row>
    <row r="27" spans="1:18" ht="11.25" outlineLevel="1">
      <c r="A27" s="2" t="s">
        <v>46</v>
      </c>
      <c r="B27" s="2">
        <f>SUM(Research!B27+Instruction!B27+Extension!B27)</f>
        <v>0</v>
      </c>
      <c r="C27" s="2">
        <f>SUM(Research!C27+Instruction!C27+Extension!C27)</f>
        <v>0</v>
      </c>
      <c r="D27" s="2">
        <f>SUM(Research!D27+Instruction!D27+Extension!D27)</f>
        <v>0</v>
      </c>
      <c r="E27" s="2">
        <f>SUM(Research!E27+Instruction!E27+Extension!E27)</f>
        <v>0</v>
      </c>
      <c r="F27" s="2">
        <f>SUM(Research!F27+Instruction!F27+Extension!F27)</f>
        <v>0</v>
      </c>
      <c r="G27" s="2">
        <f>SUM(Research!G27+Instruction!G27+Extension!G27)</f>
        <v>0</v>
      </c>
      <c r="H27" s="2">
        <f>SUM(Research!H27+Instruction!H27+Extension!H27)</f>
        <v>0</v>
      </c>
      <c r="I27" s="2">
        <f>SUM(Research!I27+Instruction!I27+Extension!I27)</f>
        <v>0</v>
      </c>
      <c r="J27" s="2">
        <f>SUM(Research!J27+Instruction!J27+Extension!J27)</f>
        <v>0</v>
      </c>
      <c r="K27" s="7">
        <f>Research!K27+Instruction!K27</f>
        <v>0</v>
      </c>
      <c r="L27" s="7">
        <f>Research!L27+Instruction!L27+Extension!K27</f>
        <v>0</v>
      </c>
      <c r="M27" s="7">
        <f>Research!M27+Instruction!M27+Extension!L27</f>
        <v>87785</v>
      </c>
      <c r="N27" s="2">
        <f>SUM(Research!N27+Instruction!N27+Extension!M27)</f>
        <v>0</v>
      </c>
      <c r="O27" s="2">
        <f>SUM(Research!O27+Instruction!O27+Extension!N27)</f>
        <v>0</v>
      </c>
      <c r="P27" s="2">
        <f>SUM(Research!P27+Instruction!P27+Extension!O27)</f>
        <v>0</v>
      </c>
      <c r="Q27" s="7">
        <f>L27+N27+O27+P27</f>
        <v>0</v>
      </c>
      <c r="R27" s="7">
        <f>Research!R27+Instruction!R27+Extension!Q27</f>
        <v>87785</v>
      </c>
    </row>
    <row r="28" spans="1:18" ht="11.25" outlineLevel="1">
      <c r="A28" s="15" t="s">
        <v>38</v>
      </c>
      <c r="B28" s="2">
        <f>SUM(Research!B28+Instruction!B28+Extension!B28)</f>
        <v>118219.64</v>
      </c>
      <c r="C28" s="2">
        <f>SUM(Research!C28+Instruction!C28+Extension!C28)</f>
        <v>9778.92</v>
      </c>
      <c r="D28" s="2">
        <f>SUM(Research!D28+Instruction!D28+Extension!D28)</f>
        <v>38986.83</v>
      </c>
      <c r="E28" s="2">
        <f>SUM(Research!E28+Instruction!E28+Extension!E28)</f>
        <v>0</v>
      </c>
      <c r="F28" s="2">
        <f>SUM(Research!F28+Instruction!F28+Extension!F28)</f>
        <v>68548.91</v>
      </c>
      <c r="G28" s="2">
        <f>SUM(Research!G28+Instruction!G28+Extension!G28)</f>
        <v>103055.55</v>
      </c>
      <c r="H28" s="2">
        <f>SUM(Research!H28+Instruction!H28+Extension!H28)</f>
        <v>62666.91</v>
      </c>
      <c r="I28" s="2">
        <f>SUM(Research!I28+Instruction!I28+Extension!I28)</f>
        <v>-32.4</v>
      </c>
      <c r="J28" s="2">
        <f>SUM(Research!J28+Instruction!J28+Extension!J28)</f>
        <v>0</v>
      </c>
      <c r="K28" s="7">
        <f>Research!K28+Instruction!K28</f>
        <v>0</v>
      </c>
      <c r="L28" s="7">
        <f>SUM(B28:K28)</f>
        <v>401224.36</v>
      </c>
      <c r="M28" s="7">
        <f>Research!M28+Instruction!M28+Extension!L28</f>
        <v>468600</v>
      </c>
      <c r="N28" s="2">
        <f>SUM(Research!N28+Instruction!N28+Extension!M28)</f>
        <v>0</v>
      </c>
      <c r="O28" s="2">
        <f>SUM(Research!O28+Instruction!O28+Extension!N28)</f>
        <v>0</v>
      </c>
      <c r="P28" s="2">
        <f>SUM(Research!P28+Instruction!P28+Extension!O28)</f>
        <v>42481.5</v>
      </c>
      <c r="Q28" s="7">
        <f>L28+N28+O28+P28</f>
        <v>443705.86</v>
      </c>
      <c r="R28" s="7">
        <f>Research!R28+Instruction!R28+Extension!Q28</f>
        <v>496289</v>
      </c>
    </row>
    <row r="29" ht="11.25">
      <c r="Q29" s="7"/>
    </row>
    <row r="30" spans="1:19" ht="11.25">
      <c r="A30" s="1" t="s">
        <v>27</v>
      </c>
      <c r="B30" s="2">
        <f>SUM(Research!B30+Instruction!B30+Extension!B30)</f>
        <v>2935.62</v>
      </c>
      <c r="C30" s="2">
        <f>SUM(Research!C30+Instruction!C30+Extension!C30)</f>
        <v>13979196.66</v>
      </c>
      <c r="D30" s="2">
        <f>SUM(Research!D30+Instruction!D30+Extension!D30)</f>
        <v>0</v>
      </c>
      <c r="E30" s="2">
        <f>SUM(Research!E30+Instruction!E30+Extension!E30)</f>
        <v>0</v>
      </c>
      <c r="F30" s="2">
        <f>SUM(Research!F30+Instruction!F30+Extension!F30)</f>
        <v>0</v>
      </c>
      <c r="G30" s="2">
        <f>SUM(Research!G30+Instruction!G30+Extension!G30)</f>
        <v>0</v>
      </c>
      <c r="H30" s="2">
        <f>SUM(Research!H30+Instruction!H30+Extension!H30)</f>
        <v>0</v>
      </c>
      <c r="I30" s="2">
        <f>SUM(Research!I30+Instruction!I30+Extension!I30)</f>
        <v>34737.79</v>
      </c>
      <c r="J30" s="2">
        <f>SUM(Research!J30+Instruction!J30+Extension!J30)</f>
        <v>0</v>
      </c>
      <c r="K30" s="7">
        <f>Research!H30+Instruction!K30</f>
        <v>0</v>
      </c>
      <c r="L30" s="7">
        <f>SUM(B30:K30)</f>
        <v>14016870.069999998</v>
      </c>
      <c r="M30" s="7">
        <f>Research!M30+Instruction!M30+Extension!L30</f>
        <v>10339211</v>
      </c>
      <c r="N30" s="2">
        <f>SUM(Research!N30+Instruction!N30+Extension!M30)</f>
        <v>0</v>
      </c>
      <c r="O30" s="2">
        <f>SUM(Research!O30+Instruction!O30+Extension!N30)</f>
        <v>0</v>
      </c>
      <c r="P30" s="2">
        <f>SUM(Research!P30+Instruction!P30+Extension!O30)</f>
        <v>0</v>
      </c>
      <c r="Q30" s="7">
        <f>L30+N30+O30+P30</f>
        <v>14016870.069999998</v>
      </c>
      <c r="R30" s="7">
        <f>Research!R30+Instruction!R30+Extension!Q30</f>
        <v>10339211</v>
      </c>
      <c r="S30" s="43"/>
    </row>
    <row r="31" spans="1:17" ht="11.25">
      <c r="A31" s="1"/>
      <c r="Q31" s="7"/>
    </row>
    <row r="32" spans="1:19" s="39" customFormat="1" ht="11.25">
      <c r="A32" s="38" t="s">
        <v>72</v>
      </c>
      <c r="B32" s="39">
        <f aca="true" t="shared" si="4" ref="B32:M32">((B18+B23+B28)/(B16+B17+B21+B22+B26+B27))</f>
        <v>0.06213865916428953</v>
      </c>
      <c r="C32" s="39">
        <f t="shared" si="4"/>
        <v>0.15769599733631506</v>
      </c>
      <c r="D32" s="39">
        <f t="shared" si="4"/>
        <v>0.21806912009639415</v>
      </c>
      <c r="E32" s="39">
        <f t="shared" si="4"/>
        <v>0.29045908917922153</v>
      </c>
      <c r="F32" s="39">
        <f t="shared" si="4"/>
        <v>0.18705588289109099</v>
      </c>
      <c r="G32" s="39">
        <f t="shared" si="4"/>
        <v>0.2260217777315317</v>
      </c>
      <c r="H32" s="39">
        <f t="shared" si="4"/>
        <v>0.26956533168115304</v>
      </c>
      <c r="I32" s="39">
        <f t="shared" si="4"/>
        <v>0.2592137186407656</v>
      </c>
      <c r="J32" s="39">
        <v>0</v>
      </c>
      <c r="K32" s="39">
        <f t="shared" si="4"/>
        <v>0</v>
      </c>
      <c r="L32" s="39">
        <f t="shared" si="4"/>
        <v>0.16700346719378603</v>
      </c>
      <c r="M32" s="39">
        <f t="shared" si="4"/>
        <v>0.14962019084278375</v>
      </c>
      <c r="N32" s="39">
        <f>((N18+N23+N28)/(N16+N17+N21+N22+N26+N27))</f>
        <v>0.14780647034962263</v>
      </c>
      <c r="O32" s="39">
        <f>((O18+O23+O28)/(O16+O17+O21+O22+O26+O27))</f>
        <v>0.0358938170273561</v>
      </c>
      <c r="P32" s="39">
        <f>((P18+P23+P28)/(P16+P17+P21+P22+P26+P27))</f>
        <v>0.09114364787675071</v>
      </c>
      <c r="Q32" s="39">
        <f>((Q18+Q23+Q28)/(Q16+Q17+Q21+Q22+Q26+Q27))</f>
        <v>0.1336136236023398</v>
      </c>
      <c r="R32" s="39">
        <f>((R18+R23+R28)/(R16+R17+R21+R22+R26+R27))</f>
        <v>0.13078959749891014</v>
      </c>
      <c r="S32" s="40"/>
    </row>
    <row r="33" spans="2:18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2" thickBot="1">
      <c r="A34" s="8" t="s">
        <v>7</v>
      </c>
      <c r="B34" s="10">
        <f aca="true" t="shared" si="5" ref="B34:R34">+B30+B25+B20+B15+B8</f>
        <v>19802521.869999997</v>
      </c>
      <c r="C34" s="10">
        <f t="shared" si="5"/>
        <v>96904480.91999999</v>
      </c>
      <c r="D34" s="10">
        <f t="shared" si="5"/>
        <v>29112916.849999994</v>
      </c>
      <c r="E34" s="10">
        <f t="shared" si="5"/>
        <v>6730974.6</v>
      </c>
      <c r="F34" s="10">
        <f t="shared" si="5"/>
        <v>12382871.809999999</v>
      </c>
      <c r="G34" s="10">
        <f t="shared" si="5"/>
        <v>27730925.310000002</v>
      </c>
      <c r="H34" s="10">
        <f t="shared" si="5"/>
        <v>10463557.2</v>
      </c>
      <c r="I34" s="10">
        <f t="shared" si="5"/>
        <v>17266323.82</v>
      </c>
      <c r="J34" s="10">
        <f t="shared" si="5"/>
        <v>1441580.41</v>
      </c>
      <c r="K34" s="10">
        <f t="shared" si="5"/>
        <v>8759459.24</v>
      </c>
      <c r="L34" s="10">
        <f t="shared" si="5"/>
        <v>230595612.03000003</v>
      </c>
      <c r="M34" s="10">
        <f t="shared" si="5"/>
        <v>228004094</v>
      </c>
      <c r="N34" s="10">
        <f>+N30+N25+N20+N15+N8</f>
        <v>2764185.61</v>
      </c>
      <c r="O34" s="10">
        <f>+O30+O25+O20+O15+O8</f>
        <v>26781917.660000004</v>
      </c>
      <c r="P34" s="10">
        <f>+P30+P25+P20+P15+P8</f>
        <v>19436572.57</v>
      </c>
      <c r="Q34" s="10">
        <f t="shared" si="5"/>
        <v>279578287.87</v>
      </c>
      <c r="R34" s="10">
        <f t="shared" si="5"/>
        <v>269295759</v>
      </c>
    </row>
    <row r="35" ht="12" thickTop="1"/>
    <row r="36" ht="11.25">
      <c r="A36" s="8"/>
    </row>
    <row r="38" spans="2:14" ht="11.25">
      <c r="B38" s="26"/>
      <c r="C38" s="12"/>
      <c r="D38" s="12"/>
      <c r="E38" s="12"/>
      <c r="F38" s="12"/>
      <c r="G38" s="12"/>
      <c r="H38" s="12"/>
      <c r="N38" s="12"/>
    </row>
    <row r="39" spans="2:14" ht="11.25">
      <c r="B39" s="12"/>
      <c r="C39" s="12"/>
      <c r="D39" s="12"/>
      <c r="E39" s="12"/>
      <c r="F39" s="12"/>
      <c r="G39" s="12"/>
      <c r="H39" s="12"/>
      <c r="N39" s="12"/>
    </row>
    <row r="40" spans="2:14" ht="11.25">
      <c r="B40" s="12"/>
      <c r="C40" s="12"/>
      <c r="D40" s="12"/>
      <c r="E40" s="12"/>
      <c r="F40" s="12"/>
      <c r="G40" s="12"/>
      <c r="H40" s="12"/>
      <c r="N40" s="12"/>
    </row>
    <row r="41" spans="2:14" ht="11.25">
      <c r="B41" s="12"/>
      <c r="C41" s="12"/>
      <c r="D41" s="12"/>
      <c r="E41" s="12"/>
      <c r="F41" s="12"/>
      <c r="G41" s="12"/>
      <c r="H41" s="12"/>
      <c r="N41" s="12"/>
    </row>
    <row r="42" spans="2:14" ht="11.25">
      <c r="B42" s="12"/>
      <c r="C42" s="12"/>
      <c r="D42" s="12"/>
      <c r="E42" s="12"/>
      <c r="F42" s="12"/>
      <c r="G42" s="12"/>
      <c r="H42" s="12"/>
      <c r="N42" s="12"/>
    </row>
    <row r="43" spans="1:2" ht="10.5" customHeight="1" hidden="1">
      <c r="A43" s="2" t="s">
        <v>34</v>
      </c>
      <c r="B43" s="2" t="s">
        <v>34</v>
      </c>
    </row>
    <row r="44" spans="10:18" ht="11.25" hidden="1">
      <c r="J44" s="12"/>
      <c r="K44" s="12"/>
      <c r="L44" s="12"/>
      <c r="M44" s="12"/>
      <c r="O44" s="12"/>
      <c r="P44" s="12"/>
      <c r="Q44" s="12"/>
      <c r="R44" s="12"/>
    </row>
    <row r="45" spans="10:18" ht="11.25" hidden="1">
      <c r="J45" s="12"/>
      <c r="K45" s="12"/>
      <c r="L45" s="12"/>
      <c r="M45" s="12"/>
      <c r="O45" s="12"/>
      <c r="P45" s="12"/>
      <c r="Q45" s="12"/>
      <c r="R45" s="12"/>
    </row>
    <row r="46" spans="15:18" ht="11.25" hidden="1">
      <c r="O46" s="8" t="s">
        <v>49</v>
      </c>
      <c r="Q46" s="27" t="s">
        <v>50</v>
      </c>
      <c r="R46" s="27" t="s">
        <v>51</v>
      </c>
    </row>
    <row r="47" spans="15:18" ht="11.25" hidden="1">
      <c r="O47" s="8"/>
      <c r="Q47" s="27" t="s">
        <v>52</v>
      </c>
      <c r="R47" s="27" t="s">
        <v>53</v>
      </c>
    </row>
    <row r="48" ht="11.25" hidden="1"/>
    <row r="49" spans="10:18" ht="11.25" hidden="1">
      <c r="J49" s="12"/>
      <c r="K49" s="12"/>
      <c r="L49" s="12"/>
      <c r="M49" s="12"/>
      <c r="O49" s="2" t="s">
        <v>54</v>
      </c>
      <c r="P49" s="12"/>
      <c r="Q49" s="2">
        <f>Research!Q49+Extension!P49</f>
        <v>143354708.16000003</v>
      </c>
      <c r="R49" s="2">
        <f>Research!R49+Extension!Q49</f>
        <v>151429014.32999998</v>
      </c>
    </row>
    <row r="50" spans="10:18" ht="11.25" hidden="1">
      <c r="J50" s="12"/>
      <c r="K50" s="12"/>
      <c r="L50" s="12"/>
      <c r="M50" s="12"/>
      <c r="O50" s="2" t="s">
        <v>55</v>
      </c>
      <c r="P50" s="12"/>
      <c r="Q50" s="2">
        <f>Research!Q50+Instruction!Q50+Extension!P50</f>
        <v>102692320.77000001</v>
      </c>
      <c r="R50" s="2">
        <f>Research!R50+Instruction!R50+Extension!Q50</f>
        <v>102587226.22</v>
      </c>
    </row>
    <row r="51" spans="10:16" ht="11.25" hidden="1">
      <c r="J51" s="12"/>
      <c r="K51" s="12"/>
      <c r="L51" s="12"/>
      <c r="M51" s="12"/>
      <c r="P51" s="12"/>
    </row>
    <row r="52" spans="10:18" ht="12" hidden="1" thickBot="1">
      <c r="J52" s="12"/>
      <c r="K52" s="12"/>
      <c r="L52" s="12"/>
      <c r="M52" s="12"/>
      <c r="O52" s="2" t="s">
        <v>56</v>
      </c>
      <c r="P52" s="12"/>
      <c r="Q52" s="10">
        <f>+Q49+Q50</f>
        <v>246047028.93000004</v>
      </c>
      <c r="R52" s="10">
        <f>+R49+R50</f>
        <v>254016240.54999998</v>
      </c>
    </row>
    <row r="53" spans="10:16" ht="12" hidden="1" thickTop="1">
      <c r="J53" s="12"/>
      <c r="K53" s="12"/>
      <c r="L53" s="12"/>
      <c r="M53" s="12"/>
      <c r="P53" s="12"/>
    </row>
    <row r="54" spans="1:18" ht="11.25" hidden="1">
      <c r="A54" s="11"/>
      <c r="B54" s="12"/>
      <c r="C54" s="12"/>
      <c r="D54" s="12"/>
      <c r="E54" s="12"/>
      <c r="F54" s="12"/>
      <c r="G54" s="12"/>
      <c r="H54" s="12"/>
      <c r="I54" s="12"/>
      <c r="N54" s="12"/>
      <c r="O54" s="15" t="s">
        <v>35</v>
      </c>
      <c r="Q54" s="2">
        <f>Q12</f>
        <v>18350219.060000002</v>
      </c>
      <c r="R54" s="2">
        <f>Q12</f>
        <v>18350219.060000002</v>
      </c>
    </row>
    <row r="55" spans="1:15" ht="11.25" hidden="1">
      <c r="A55" s="11"/>
      <c r="B55" s="12"/>
      <c r="C55" s="12"/>
      <c r="D55" s="12"/>
      <c r="E55" s="12"/>
      <c r="F55" s="12"/>
      <c r="G55" s="12"/>
      <c r="H55" s="12"/>
      <c r="I55" s="12"/>
      <c r="N55" s="12"/>
      <c r="O55" s="15" t="s">
        <v>36</v>
      </c>
    </row>
    <row r="56" spans="2:18" ht="11.25" hidden="1">
      <c r="B56" s="12"/>
      <c r="C56" s="12"/>
      <c r="D56" s="12"/>
      <c r="E56" s="12"/>
      <c r="F56" s="12"/>
      <c r="G56" s="12"/>
      <c r="H56" s="12"/>
      <c r="I56" s="12"/>
      <c r="N56" s="12"/>
      <c r="O56" s="15" t="s">
        <v>38</v>
      </c>
      <c r="Q56" s="2">
        <f>Q18+Q23+Q28</f>
        <v>13711590.189999998</v>
      </c>
      <c r="R56" s="2">
        <f>Q18+Q23+Q28</f>
        <v>13711590.189999998</v>
      </c>
    </row>
    <row r="57" spans="2:18" ht="11.25" hidden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5" t="s">
        <v>37</v>
      </c>
      <c r="P57" s="12"/>
      <c r="Q57" s="2">
        <f>Q13</f>
        <v>1003087.59</v>
      </c>
      <c r="R57" s="2">
        <f>Q13</f>
        <v>1003087.59</v>
      </c>
    </row>
    <row r="58" spans="2:18" ht="11.25" hidden="1">
      <c r="B58" s="12"/>
      <c r="C58" s="12"/>
      <c r="D58" s="12"/>
      <c r="E58" s="12"/>
      <c r="F58" s="12"/>
      <c r="G58" s="12"/>
      <c r="H58" s="12"/>
      <c r="I58" s="12"/>
      <c r="N58" s="12"/>
      <c r="O58" s="2" t="s">
        <v>57</v>
      </c>
      <c r="Q58" s="2">
        <f>Instruction!Q58</f>
        <v>466362.10000000003</v>
      </c>
      <c r="R58" s="2">
        <f>Instruction!Q58</f>
        <v>466362.10000000003</v>
      </c>
    </row>
    <row r="59" spans="2:18" ht="11.25" hidden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2" t="s">
        <v>58</v>
      </c>
      <c r="P59" s="12"/>
      <c r="Q59" s="2">
        <f>Research!Q58+Instruction!Q59+Extension!P58</f>
        <v>0</v>
      </c>
      <c r="R59" s="2">
        <f>Research!R58+Instruction!R59+Extension!Q58</f>
        <v>0</v>
      </c>
    </row>
    <row r="60" spans="2:18" ht="11.25" hidden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2" t="s">
        <v>59</v>
      </c>
      <c r="P60" s="12"/>
      <c r="R60" s="2">
        <f>Research!R59+Instruction!R60+Extension!Q59</f>
        <v>0</v>
      </c>
    </row>
    <row r="61" spans="10:18" ht="11.25" hidden="1">
      <c r="J61" s="12"/>
      <c r="K61" s="12"/>
      <c r="L61" s="12"/>
      <c r="M61" s="12"/>
      <c r="O61" s="2" t="s">
        <v>74</v>
      </c>
      <c r="P61" s="12"/>
      <c r="R61" s="2">
        <f>Research!R60</f>
        <v>0</v>
      </c>
    </row>
    <row r="62" spans="10:18" ht="11.25" hidden="1">
      <c r="J62" s="12"/>
      <c r="K62" s="12"/>
      <c r="L62" s="12"/>
      <c r="M62" s="12"/>
      <c r="O62" s="2" t="s">
        <v>71</v>
      </c>
      <c r="P62" s="12"/>
      <c r="R62" s="2">
        <f>Research!R61+Extension!Q60</f>
        <v>0</v>
      </c>
    </row>
    <row r="63" spans="10:18" ht="11.25" hidden="1">
      <c r="J63" s="12"/>
      <c r="K63" s="12"/>
      <c r="L63" s="12"/>
      <c r="M63" s="12"/>
      <c r="O63" s="2" t="s">
        <v>60</v>
      </c>
      <c r="P63" s="12"/>
      <c r="Q63" s="2">
        <f>Research!Q62+Extension!P61</f>
        <v>0</v>
      </c>
      <c r="R63" s="2">
        <f>Research!R62+Extension!Q61</f>
        <v>0</v>
      </c>
    </row>
    <row r="64" spans="10:16" ht="11.25" hidden="1">
      <c r="J64" s="12"/>
      <c r="K64" s="12"/>
      <c r="L64" s="12"/>
      <c r="M64" s="12"/>
      <c r="P64" s="12"/>
    </row>
    <row r="65" spans="10:18" ht="12" hidden="1" thickBot="1">
      <c r="J65" s="12"/>
      <c r="K65" s="12"/>
      <c r="L65" s="12"/>
      <c r="M65" s="12"/>
      <c r="O65" s="2" t="s">
        <v>61</v>
      </c>
      <c r="P65" s="12"/>
      <c r="Q65" s="10">
        <f>SUM(Q52:Q63)</f>
        <v>279578287.87000006</v>
      </c>
      <c r="R65" s="10">
        <f>SUM(R52:R63)</f>
        <v>287547499.49</v>
      </c>
    </row>
    <row r="66" spans="10:16" ht="12" hidden="1" thickTop="1">
      <c r="J66" s="12"/>
      <c r="K66" s="12"/>
      <c r="L66" s="12"/>
      <c r="M66" s="12"/>
      <c r="O66" s="12"/>
      <c r="P66" s="12"/>
    </row>
    <row r="67" spans="10:18" ht="11.25" hidden="1">
      <c r="J67" s="12"/>
      <c r="K67" s="12"/>
      <c r="L67" s="12"/>
      <c r="M67" s="12"/>
      <c r="O67" s="12"/>
      <c r="P67" s="12"/>
      <c r="Q67" s="2">
        <f>+Q34-Q65</f>
        <v>0</v>
      </c>
      <c r="R67" s="2">
        <f>Q65-R65</f>
        <v>-7969211.619999945</v>
      </c>
    </row>
    <row r="68" spans="10:18" ht="11.25" hidden="1">
      <c r="J68" s="12"/>
      <c r="K68" s="12"/>
      <c r="L68" s="12"/>
      <c r="M68" s="12"/>
      <c r="O68" s="12"/>
      <c r="P68" s="12"/>
      <c r="Q68" s="12"/>
      <c r="R68" s="12"/>
    </row>
    <row r="69" spans="10:18" ht="11.25" hidden="1">
      <c r="J69" s="12"/>
      <c r="K69" s="12"/>
      <c r="L69" s="12"/>
      <c r="M69" s="12"/>
      <c r="O69" s="12"/>
      <c r="P69" s="12"/>
      <c r="Q69" s="12"/>
      <c r="R69" s="12"/>
    </row>
    <row r="70" ht="11.25" hidden="1"/>
    <row r="71" ht="11.25" hidden="1"/>
    <row r="72" ht="11.25" hidden="1"/>
    <row r="73" ht="11.25" hidden="1"/>
  </sheetData>
  <sheetProtection/>
  <printOptions horizontalCentered="1" verticalCentered="1"/>
  <pageMargins left="0" right="0" top="0.5" bottom="0.5" header="0.25" footer="0.25"/>
  <pageSetup fitToHeight="1" fitToWidth="1" horizontalDpi="300" verticalDpi="300" orientation="landscape" scale="73" r:id="rId1"/>
  <headerFooter alignWithMargins="0">
    <oddHeader>&amp;L11/04/15&amp;C&amp;F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65"/>
  <sheetViews>
    <sheetView zoomScalePageLayoutView="0" workbookViewId="0" topLeftCell="A1">
      <pane xSplit="1" ySplit="6" topLeftCell="B7" activePane="bottomRight" state="frozen"/>
      <selection pane="topLeft" activeCell="O2" sqref="O2"/>
      <selection pane="topRight" activeCell="O2" sqref="O2"/>
      <selection pane="bottomLeft" activeCell="O2" sqref="O2"/>
      <selection pane="bottomRight" activeCell="K1" sqref="K1:K16384"/>
    </sheetView>
  </sheetViews>
  <sheetFormatPr defaultColWidth="9.140625" defaultRowHeight="12.75" outlineLevelRow="1"/>
  <cols>
    <col min="1" max="1" width="19.00390625" style="15" customWidth="1"/>
    <col min="2" max="2" width="10.57421875" style="15" customWidth="1"/>
    <col min="3" max="3" width="10.8515625" style="15" customWidth="1"/>
    <col min="4" max="4" width="10.57421875" style="15" customWidth="1"/>
    <col min="5" max="5" width="10.28125" style="15" customWidth="1"/>
    <col min="6" max="6" width="9.7109375" style="15" customWidth="1"/>
    <col min="7" max="7" width="10.421875" style="15" bestFit="1" customWidth="1"/>
    <col min="8" max="8" width="9.140625" style="15" customWidth="1"/>
    <col min="9" max="9" width="10.140625" style="15" customWidth="1"/>
    <col min="10" max="11" width="7.8515625" style="15" bestFit="1" customWidth="1"/>
    <col min="12" max="13" width="9.57421875" style="15" customWidth="1"/>
    <col min="14" max="14" width="9.140625" style="15" customWidth="1"/>
    <col min="15" max="15" width="10.140625" style="15" customWidth="1"/>
    <col min="16" max="16" width="8.57421875" style="15" bestFit="1" customWidth="1"/>
    <col min="17" max="17" width="10.421875" style="15" bestFit="1" customWidth="1"/>
    <col min="18" max="18" width="10.8515625" style="15" bestFit="1" customWidth="1"/>
    <col min="19" max="16384" width="9.140625" style="15" customWidth="1"/>
  </cols>
  <sheetData>
    <row r="1" spans="1:19" ht="11.25">
      <c r="A1" s="8" t="s">
        <v>81</v>
      </c>
      <c r="H1" s="13"/>
      <c r="S1" s="32" t="s">
        <v>43</v>
      </c>
    </row>
    <row r="2" ht="11.25">
      <c r="A2" s="14" t="s">
        <v>33</v>
      </c>
    </row>
    <row r="3" ht="11.25">
      <c r="S3" s="28" t="s">
        <v>34</v>
      </c>
    </row>
    <row r="4" spans="1:18" ht="11.25">
      <c r="A4" s="14" t="s">
        <v>40</v>
      </c>
      <c r="B4" s="16"/>
      <c r="C4" s="16"/>
      <c r="D4" s="16"/>
      <c r="E4" s="16"/>
      <c r="F4" s="16"/>
      <c r="G4" s="16"/>
      <c r="H4" s="16" t="s">
        <v>1</v>
      </c>
      <c r="I4" s="16"/>
      <c r="J4" s="16"/>
      <c r="K4" s="16"/>
      <c r="L4" s="37" t="s">
        <v>82</v>
      </c>
      <c r="M4" s="37" t="s">
        <v>76</v>
      </c>
      <c r="N4" s="16"/>
      <c r="O4" s="16"/>
      <c r="P4" s="16" t="s">
        <v>29</v>
      </c>
      <c r="Q4" s="37" t="s">
        <v>82</v>
      </c>
      <c r="R4" s="37" t="s">
        <v>76</v>
      </c>
    </row>
    <row r="5" spans="2:18" ht="11.25">
      <c r="B5" s="16" t="s">
        <v>2</v>
      </c>
      <c r="C5" s="16"/>
      <c r="D5" s="16" t="s">
        <v>3</v>
      </c>
      <c r="E5" s="16"/>
      <c r="F5" s="16"/>
      <c r="G5" s="16"/>
      <c r="H5" s="16" t="s">
        <v>4</v>
      </c>
      <c r="I5" s="16" t="s">
        <v>5</v>
      </c>
      <c r="J5" s="16"/>
      <c r="K5" s="16"/>
      <c r="L5" s="37" t="s">
        <v>80</v>
      </c>
      <c r="M5" s="37" t="s">
        <v>80</v>
      </c>
      <c r="N5" s="16"/>
      <c r="O5" s="16" t="s">
        <v>6</v>
      </c>
      <c r="P5" s="16" t="s">
        <v>30</v>
      </c>
      <c r="Q5" s="16" t="s">
        <v>48</v>
      </c>
      <c r="R5" s="16" t="s">
        <v>7</v>
      </c>
    </row>
    <row r="6" spans="2:18" ht="11.25">
      <c r="B6" s="17" t="s">
        <v>8</v>
      </c>
      <c r="C6" s="17" t="s">
        <v>9</v>
      </c>
      <c r="D6" s="17" t="s">
        <v>10</v>
      </c>
      <c r="E6" s="17" t="s">
        <v>11</v>
      </c>
      <c r="F6" s="17" t="s">
        <v>12</v>
      </c>
      <c r="G6" s="17" t="s">
        <v>13</v>
      </c>
      <c r="H6" s="17" t="s">
        <v>10</v>
      </c>
      <c r="I6" s="17" t="s">
        <v>15</v>
      </c>
      <c r="J6" s="16" t="s">
        <v>26</v>
      </c>
      <c r="K6" s="37" t="s">
        <v>77</v>
      </c>
      <c r="L6" s="37" t="s">
        <v>79</v>
      </c>
      <c r="M6" s="37" t="s">
        <v>79</v>
      </c>
      <c r="N6" s="17" t="s">
        <v>14</v>
      </c>
      <c r="O6" s="17" t="s">
        <v>16</v>
      </c>
      <c r="P6" s="17" t="s">
        <v>10</v>
      </c>
      <c r="Q6" s="30" t="s">
        <v>8</v>
      </c>
      <c r="R6" s="17" t="s">
        <v>8</v>
      </c>
    </row>
    <row r="7" spans="1:17" s="19" customFormat="1" ht="11.25">
      <c r="A7" s="5" t="s">
        <v>17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8" ht="11.25" customHeight="1">
      <c r="A8" s="8" t="s">
        <v>18</v>
      </c>
      <c r="B8" s="15">
        <f>SUM(B9:B13)-0.4</f>
        <v>4115191.27</v>
      </c>
      <c r="C8" s="15">
        <f>SUM(C9:C13)</f>
        <v>32654213.939999998</v>
      </c>
      <c r="D8" s="15">
        <f>SUM(D9:D13)</f>
        <v>18190016.66</v>
      </c>
      <c r="E8" s="15">
        <f>SUM(E9:E13)</f>
        <v>6139555.97</v>
      </c>
      <c r="F8" s="15">
        <f>SUM(F9:F13)</f>
        <v>587225.1299999999</v>
      </c>
      <c r="G8" s="15">
        <f>SUM(G9:G13)</f>
        <v>10867969.38</v>
      </c>
      <c r="H8" s="15">
        <f>ROUND(SUM(H9:H13),0)</f>
        <v>2382988</v>
      </c>
      <c r="I8" s="15">
        <f>SUM(I9:I13)</f>
        <v>5434789.680000001</v>
      </c>
      <c r="J8" s="15">
        <f>ROUND(SUM(J9:J13),0)</f>
        <v>1326167</v>
      </c>
      <c r="K8" s="15">
        <f>ROUND(SUM(K9:K13),0)</f>
        <v>1271363</v>
      </c>
      <c r="L8" s="15">
        <f>ROUND(SUM(L9:L13),0)</f>
        <v>82969481</v>
      </c>
      <c r="M8" s="15">
        <f>ROUND(SUM(M9:M13),0)</f>
        <v>81592484</v>
      </c>
      <c r="N8" s="15">
        <f>SUM(N9:N13)</f>
        <v>0</v>
      </c>
      <c r="O8" s="15">
        <f>SUM(O9:O13)</f>
        <v>0</v>
      </c>
      <c r="P8" s="15">
        <f>ROUND(SUM(P9:P13),0)</f>
        <v>2421495</v>
      </c>
      <c r="Q8" s="15">
        <f>ROUND(SUM(Q9:Q13),0)</f>
        <v>85390976</v>
      </c>
      <c r="R8" s="15">
        <f>ROUND(SUM(R9:R13),0)</f>
        <v>82642314</v>
      </c>
    </row>
    <row r="9" spans="1:18" s="19" customFormat="1" ht="11.25" customHeight="1" outlineLevel="1">
      <c r="A9" s="19" t="s">
        <v>19</v>
      </c>
      <c r="B9" s="19">
        <v>3847718.84</v>
      </c>
      <c r="C9" s="19">
        <v>24183044.7</v>
      </c>
      <c r="D9" s="19">
        <v>16906192.4</v>
      </c>
      <c r="E9" s="19">
        <v>5978839.79</v>
      </c>
      <c r="F9" s="19">
        <v>126186.47</v>
      </c>
      <c r="G9" s="19">
        <v>9631666.66</v>
      </c>
      <c r="H9" s="19">
        <v>1559140.63</v>
      </c>
      <c r="I9" s="19">
        <v>4565305.62</v>
      </c>
      <c r="J9" s="19">
        <v>1274613.65</v>
      </c>
      <c r="K9" s="19">
        <v>1259913.24</v>
      </c>
      <c r="L9" s="19">
        <f>SUM(B9:K9)</f>
        <v>69332622</v>
      </c>
      <c r="M9" s="19">
        <v>66310265</v>
      </c>
      <c r="P9" s="19">
        <v>1984969.67</v>
      </c>
      <c r="Q9" s="19">
        <f>L9+N9+O9+P9</f>
        <v>71317591.67</v>
      </c>
      <c r="R9" s="19">
        <v>67109595</v>
      </c>
    </row>
    <row r="10" spans="1:18" s="19" customFormat="1" ht="11.25" customHeight="1" outlineLevel="1">
      <c r="A10" s="19" t="s">
        <v>20</v>
      </c>
      <c r="B10" s="19">
        <v>9250</v>
      </c>
      <c r="D10" s="19">
        <v>237960.61</v>
      </c>
      <c r="F10" s="19">
        <v>221061.62</v>
      </c>
      <c r="G10" s="19">
        <v>124619.42</v>
      </c>
      <c r="H10" s="19">
        <v>53572.4</v>
      </c>
      <c r="I10" s="19">
        <v>386128.27</v>
      </c>
      <c r="J10" s="19">
        <v>34461.02</v>
      </c>
      <c r="L10" s="19">
        <f>SUM(B10:K10)</f>
        <v>1067053.34</v>
      </c>
      <c r="M10" s="19">
        <v>1847911</v>
      </c>
      <c r="P10" s="19">
        <v>193803.84</v>
      </c>
      <c r="Q10" s="19">
        <f>L10+N10+O10+P10</f>
        <v>1260857.1800000002</v>
      </c>
      <c r="R10" s="19">
        <v>1978377</v>
      </c>
    </row>
    <row r="11" spans="1:18" ht="11.25" outlineLevel="1">
      <c r="A11" s="15" t="s">
        <v>21</v>
      </c>
      <c r="B11" s="15">
        <v>65268.25</v>
      </c>
      <c r="C11" s="19">
        <v>5901171.54</v>
      </c>
      <c r="L11" s="19">
        <f>SUM(B11:K11)</f>
        <v>5966439.79</v>
      </c>
      <c r="M11" s="19">
        <v>7149478</v>
      </c>
      <c r="P11" s="19"/>
      <c r="Q11" s="19">
        <f>L11+N11+O11+P11</f>
        <v>5966439.79</v>
      </c>
      <c r="R11" s="15">
        <v>7149478</v>
      </c>
    </row>
    <row r="12" spans="1:18" ht="11.25" outlineLevel="1">
      <c r="A12" s="2" t="s">
        <v>78</v>
      </c>
      <c r="B12" s="15">
        <f>103698.22+84668.36</f>
        <v>188366.58000000002</v>
      </c>
      <c r="C12" s="15">
        <f>4832.92+2008.76+1671736.83+450535.93+440883.26</f>
        <v>2569997.7</v>
      </c>
      <c r="D12" s="15">
        <f>777482.88+85343.82+65008.49</f>
        <v>927835.19</v>
      </c>
      <c r="E12" s="15">
        <f>23302.65+116132.19+21281.34</f>
        <v>160716.18</v>
      </c>
      <c r="F12" s="15">
        <f>57586.89+32877.54+39866.05</f>
        <v>130330.48</v>
      </c>
      <c r="G12" s="15">
        <f>832251.87+170382.71+47237.49</f>
        <v>1049872.07</v>
      </c>
      <c r="H12" s="15">
        <f>491136.03+85412.17+167154.91</f>
        <v>743703.1100000001</v>
      </c>
      <c r="I12" s="15">
        <f>225698.08+63705.49+2432.6</f>
        <v>291836.17</v>
      </c>
      <c r="K12" s="15">
        <v>11450</v>
      </c>
      <c r="L12" s="19">
        <f>SUM(B12:K12)</f>
        <v>6074107.48</v>
      </c>
      <c r="M12" s="19">
        <v>5418910</v>
      </c>
      <c r="P12" s="15">
        <f>156319.14+26193.9+6718.78</f>
        <v>189231.82</v>
      </c>
      <c r="Q12" s="19">
        <f>L12+N12+O12+P12</f>
        <v>6263339.300000001</v>
      </c>
      <c r="R12" s="15">
        <v>5502804</v>
      </c>
    </row>
    <row r="13" spans="1:18" ht="11.25" outlineLevel="1">
      <c r="A13" s="15" t="s">
        <v>37</v>
      </c>
      <c r="B13" s="15">
        <v>4588</v>
      </c>
      <c r="D13" s="15">
        <v>118028.46</v>
      </c>
      <c r="F13" s="15">
        <v>109646.56</v>
      </c>
      <c r="G13" s="15">
        <v>61811.23</v>
      </c>
      <c r="H13" s="15">
        <v>26571.91</v>
      </c>
      <c r="I13" s="15">
        <v>191519.62</v>
      </c>
      <c r="J13" s="15">
        <v>17092.67</v>
      </c>
      <c r="L13" s="19">
        <f>SUM(B13:K13)</f>
        <v>529258.45</v>
      </c>
      <c r="M13" s="19">
        <v>865920</v>
      </c>
      <c r="P13" s="19">
        <v>53489.86</v>
      </c>
      <c r="Q13" s="19">
        <f>L13+N13+O13+P13</f>
        <v>582748.3099999999</v>
      </c>
      <c r="R13" s="15">
        <v>902060</v>
      </c>
    </row>
    <row r="15" spans="1:18" ht="11.25">
      <c r="A15" s="14" t="s">
        <v>25</v>
      </c>
      <c r="B15" s="15">
        <f aca="true" t="shared" si="0" ref="B15:R15">SUM(B16:B18)</f>
        <v>47521.14</v>
      </c>
      <c r="C15" s="15">
        <f t="shared" si="0"/>
        <v>2189193.04</v>
      </c>
      <c r="D15" s="15">
        <f t="shared" si="0"/>
        <v>884391.96</v>
      </c>
      <c r="E15" s="15">
        <f t="shared" si="0"/>
        <v>344401.52</v>
      </c>
      <c r="F15" s="15">
        <f t="shared" si="0"/>
        <v>118520.34</v>
      </c>
      <c r="G15" s="15">
        <f t="shared" si="0"/>
        <v>1624239.3900000001</v>
      </c>
      <c r="H15" s="15">
        <f t="shared" si="0"/>
        <v>388413.67</v>
      </c>
      <c r="I15" s="15">
        <f t="shared" si="0"/>
        <v>1346839.02</v>
      </c>
      <c r="J15" s="15">
        <f t="shared" si="0"/>
        <v>0</v>
      </c>
      <c r="K15" s="15">
        <f t="shared" si="0"/>
        <v>101388</v>
      </c>
      <c r="L15" s="15">
        <f t="shared" si="0"/>
        <v>7044908.08</v>
      </c>
      <c r="M15" s="15">
        <f t="shared" si="0"/>
        <v>7134591</v>
      </c>
      <c r="N15" s="15">
        <f>SUM(N16:N18)</f>
        <v>0</v>
      </c>
      <c r="O15" s="15">
        <f>SUM(O16:O18)</f>
        <v>0</v>
      </c>
      <c r="P15" s="15">
        <f>SUM(P16:P18)</f>
        <v>176866.28</v>
      </c>
      <c r="Q15" s="15">
        <f t="shared" si="0"/>
        <v>7221774.36</v>
      </c>
      <c r="R15" s="15">
        <f t="shared" si="0"/>
        <v>7230183</v>
      </c>
    </row>
    <row r="16" spans="1:19" ht="11.25" outlineLevel="1">
      <c r="A16" s="15" t="s">
        <v>22</v>
      </c>
      <c r="B16" s="15">
        <v>47521.14</v>
      </c>
      <c r="C16" s="15">
        <v>2000222.74</v>
      </c>
      <c r="D16" s="15">
        <v>713056.19</v>
      </c>
      <c r="E16" s="15">
        <v>247911.91</v>
      </c>
      <c r="F16" s="15">
        <v>105542.79</v>
      </c>
      <c r="G16" s="15">
        <v>1330553.12</v>
      </c>
      <c r="H16" s="15">
        <v>363533.76</v>
      </c>
      <c r="I16" s="15">
        <v>1029509.42</v>
      </c>
      <c r="K16" s="15">
        <f>35988+15400</f>
        <v>51388</v>
      </c>
      <c r="L16" s="19">
        <f>SUM(B16:K16)</f>
        <v>5889239.07</v>
      </c>
      <c r="M16" s="19">
        <v>5975021</v>
      </c>
      <c r="P16" s="19">
        <v>169288.92</v>
      </c>
      <c r="Q16" s="19">
        <f>L16+N16+O16+P16</f>
        <v>6058527.99</v>
      </c>
      <c r="R16" s="15">
        <v>6070613</v>
      </c>
      <c r="S16" s="15" t="s">
        <v>34</v>
      </c>
    </row>
    <row r="17" spans="1:18" ht="11.25" outlineLevel="1">
      <c r="A17" s="15" t="s">
        <v>47</v>
      </c>
      <c r="K17" s="15">
        <v>50000</v>
      </c>
      <c r="L17" s="19">
        <f>SUM(B17:K17)</f>
        <v>50000</v>
      </c>
      <c r="M17" s="19">
        <v>17087</v>
      </c>
      <c r="P17" s="19"/>
      <c r="Q17" s="19">
        <f>L17+N17+O17+P17</f>
        <v>50000</v>
      </c>
      <c r="R17" s="15">
        <v>17087</v>
      </c>
    </row>
    <row r="18" spans="1:18" ht="11.25" outlineLevel="1">
      <c r="A18" s="15" t="s">
        <v>38</v>
      </c>
      <c r="C18" s="15">
        <v>188970.3</v>
      </c>
      <c r="D18" s="15">
        <v>171335.77</v>
      </c>
      <c r="E18" s="15">
        <v>96489.61</v>
      </c>
      <c r="F18" s="15">
        <v>12977.55</v>
      </c>
      <c r="G18" s="15">
        <v>293686.27</v>
      </c>
      <c r="H18" s="15">
        <v>24879.91</v>
      </c>
      <c r="I18" s="15">
        <v>317329.6</v>
      </c>
      <c r="L18" s="19">
        <f>SUM(B18:K18)</f>
        <v>1105669.01</v>
      </c>
      <c r="M18" s="19">
        <v>1142483</v>
      </c>
      <c r="P18" s="19">
        <v>7577.36</v>
      </c>
      <c r="Q18" s="19">
        <f>L18+N18+O18+P18</f>
        <v>1113246.37</v>
      </c>
      <c r="R18" s="15">
        <v>1142483</v>
      </c>
    </row>
    <row r="19" ht="11.25">
      <c r="Q19" s="19"/>
    </row>
    <row r="20" spans="1:18" ht="11.25">
      <c r="A20" s="14" t="s">
        <v>23</v>
      </c>
      <c r="B20" s="15">
        <f aca="true" t="shared" si="1" ref="B20:R20">SUM(B21:B23)</f>
        <v>3196603.38</v>
      </c>
      <c r="C20" s="15">
        <f t="shared" si="1"/>
        <v>8156358.18</v>
      </c>
      <c r="D20" s="15">
        <f t="shared" si="1"/>
        <v>8056817.36</v>
      </c>
      <c r="E20" s="15">
        <f t="shared" si="1"/>
        <v>69106.32</v>
      </c>
      <c r="F20" s="15">
        <f t="shared" si="1"/>
        <v>207595.12</v>
      </c>
      <c r="G20" s="15">
        <f t="shared" si="1"/>
        <v>7933764.3</v>
      </c>
      <c r="H20" s="15">
        <f t="shared" si="1"/>
        <v>2233451.7199999997</v>
      </c>
      <c r="I20" s="15">
        <f t="shared" si="1"/>
        <v>4771629.7</v>
      </c>
      <c r="J20" s="15">
        <f t="shared" si="1"/>
        <v>0</v>
      </c>
      <c r="K20" s="15">
        <f t="shared" si="1"/>
        <v>5616161</v>
      </c>
      <c r="L20" s="15">
        <f t="shared" si="1"/>
        <v>40241487.080000006</v>
      </c>
      <c r="M20" s="15">
        <f t="shared" si="1"/>
        <v>41460342</v>
      </c>
      <c r="N20" s="15">
        <f>SUM(N21:N23)</f>
        <v>0</v>
      </c>
      <c r="O20" s="15">
        <f>SUM(O21:O23)</f>
        <v>20641.53</v>
      </c>
      <c r="P20" s="15">
        <f>SUM(P21:P23)</f>
        <v>1055497.22</v>
      </c>
      <c r="Q20" s="15">
        <f t="shared" si="1"/>
        <v>41317625.830000006</v>
      </c>
      <c r="R20" s="15">
        <f t="shared" si="1"/>
        <v>42804637</v>
      </c>
    </row>
    <row r="21" spans="1:18" ht="11.25" outlineLevel="1">
      <c r="A21" s="15" t="s">
        <v>22</v>
      </c>
      <c r="B21" s="15">
        <v>2958115.63</v>
      </c>
      <c r="C21" s="2">
        <f>17295.66+7158.91+6759949.01</f>
        <v>6784403.58</v>
      </c>
      <c r="D21" s="15">
        <v>6398051.61</v>
      </c>
      <c r="E21" s="15">
        <v>58302.22</v>
      </c>
      <c r="F21" s="15">
        <v>152367.87</v>
      </c>
      <c r="G21" s="15">
        <v>6060966.96</v>
      </c>
      <c r="H21" s="15">
        <v>1506900.19</v>
      </c>
      <c r="I21" s="15">
        <v>3524529.99</v>
      </c>
      <c r="K21" s="15">
        <v>5616161</v>
      </c>
      <c r="L21" s="19">
        <f>SUM(B21:K21)</f>
        <v>33059799.050000004</v>
      </c>
      <c r="M21" s="19">
        <v>28626683</v>
      </c>
      <c r="O21" s="15">
        <v>14787.99</v>
      </c>
      <c r="P21" s="19">
        <v>972520.01</v>
      </c>
      <c r="Q21" s="19">
        <f>L21+N21+O21+P21</f>
        <v>34047107.050000004</v>
      </c>
      <c r="R21" s="15">
        <v>29699241</v>
      </c>
    </row>
    <row r="22" spans="1:18" ht="11.25" outlineLevel="1">
      <c r="A22" s="15" t="s">
        <v>46</v>
      </c>
      <c r="L22" s="19">
        <f>SUM(B22:K22)</f>
        <v>0</v>
      </c>
      <c r="M22" s="19">
        <v>6309845</v>
      </c>
      <c r="P22" s="19"/>
      <c r="Q22" s="19">
        <f>L22+N22+O22+P22</f>
        <v>0</v>
      </c>
      <c r="R22" s="15">
        <v>6309845</v>
      </c>
    </row>
    <row r="23" spans="1:18" ht="11.25" outlineLevel="1">
      <c r="A23" s="15" t="s">
        <v>38</v>
      </c>
      <c r="B23" s="15">
        <v>238487.75</v>
      </c>
      <c r="C23" s="15">
        <f>6187.94+2601.84+1363164.82</f>
        <v>1371954.6</v>
      </c>
      <c r="D23" s="15">
        <v>1658765.75</v>
      </c>
      <c r="E23" s="15">
        <v>10804.1</v>
      </c>
      <c r="F23" s="15">
        <v>55227.25</v>
      </c>
      <c r="G23" s="15">
        <v>1872797.34</v>
      </c>
      <c r="H23" s="15">
        <v>726551.53</v>
      </c>
      <c r="I23" s="15">
        <v>1247099.71</v>
      </c>
      <c r="L23" s="19">
        <f>SUM(B23:K23)</f>
        <v>7181688.03</v>
      </c>
      <c r="M23" s="19">
        <v>6523814</v>
      </c>
      <c r="O23" s="15">
        <v>5853.54</v>
      </c>
      <c r="P23" s="19">
        <v>82977.21</v>
      </c>
      <c r="Q23" s="19">
        <f>L23+N23+O23+P23</f>
        <v>7270518.78</v>
      </c>
      <c r="R23" s="15">
        <v>6795551</v>
      </c>
    </row>
    <row r="24" ht="11.25">
      <c r="R24" s="15" t="s">
        <v>34</v>
      </c>
    </row>
    <row r="25" spans="1:18" ht="11.25">
      <c r="A25" s="14" t="s">
        <v>24</v>
      </c>
      <c r="B25" s="15">
        <f aca="true" t="shared" si="2" ref="B25:R25">SUM(B26:B28)</f>
        <v>298996.63</v>
      </c>
      <c r="C25" s="15">
        <f t="shared" si="2"/>
        <v>1329115.69</v>
      </c>
      <c r="D25" s="15">
        <f t="shared" si="2"/>
        <v>673663.09</v>
      </c>
      <c r="E25" s="15">
        <f t="shared" si="2"/>
        <v>63111.92</v>
      </c>
      <c r="F25" s="15">
        <f t="shared" si="2"/>
        <v>143713.22</v>
      </c>
      <c r="G25" s="15">
        <f t="shared" si="2"/>
        <v>450309.71</v>
      </c>
      <c r="H25" s="15">
        <f t="shared" si="2"/>
        <v>760140.56</v>
      </c>
      <c r="I25" s="15">
        <f t="shared" si="2"/>
        <v>51429.6</v>
      </c>
      <c r="J25" s="15">
        <f t="shared" si="2"/>
        <v>0</v>
      </c>
      <c r="K25" s="15">
        <f t="shared" si="2"/>
        <v>16500</v>
      </c>
      <c r="L25" s="15">
        <f t="shared" si="2"/>
        <v>3786980.42</v>
      </c>
      <c r="M25" s="15">
        <f t="shared" si="2"/>
        <v>5649504</v>
      </c>
      <c r="N25" s="15">
        <f>SUM(N26:N28)</f>
        <v>-2691.79</v>
      </c>
      <c r="O25" s="15">
        <f>SUM(O26:O28)</f>
        <v>-6478.04</v>
      </c>
      <c r="P25" s="15">
        <f>SUM(P26:P28)</f>
        <v>45366.53</v>
      </c>
      <c r="Q25" s="15">
        <f t="shared" si="2"/>
        <v>3823177.1199999996</v>
      </c>
      <c r="R25" s="15">
        <f t="shared" si="2"/>
        <v>5715053</v>
      </c>
    </row>
    <row r="26" spans="1:18" ht="11.25" outlineLevel="1">
      <c r="A26" s="15" t="s">
        <v>22</v>
      </c>
      <c r="B26" s="15">
        <v>298996.63</v>
      </c>
      <c r="C26" s="15">
        <v>1319336.77</v>
      </c>
      <c r="D26" s="15">
        <v>634453.76</v>
      </c>
      <c r="E26" s="15">
        <v>63111.92</v>
      </c>
      <c r="F26" s="15">
        <v>131422.94</v>
      </c>
      <c r="G26" s="15">
        <v>450309.71</v>
      </c>
      <c r="H26" s="15">
        <v>696497.87</v>
      </c>
      <c r="I26" s="15">
        <v>51462</v>
      </c>
      <c r="K26" s="15">
        <v>16500</v>
      </c>
      <c r="L26" s="19">
        <f>SUM(B26:K26)</f>
        <v>3662091.6</v>
      </c>
      <c r="M26" s="19">
        <v>5315095</v>
      </c>
      <c r="N26" s="15">
        <v>-2691.79</v>
      </c>
      <c r="O26" s="15">
        <v>-6478.04</v>
      </c>
      <c r="P26" s="19">
        <v>45366.53</v>
      </c>
      <c r="Q26" s="19">
        <f>L26+N26+O26+P26</f>
        <v>3698288.3</v>
      </c>
      <c r="R26" s="15">
        <v>5380644</v>
      </c>
    </row>
    <row r="27" spans="1:18" ht="11.25" outlineLevel="1">
      <c r="A27" s="15" t="s">
        <v>46</v>
      </c>
      <c r="L27" s="19">
        <f>SUM(B27:K27)</f>
        <v>0</v>
      </c>
      <c r="M27" s="19">
        <v>87785</v>
      </c>
      <c r="P27" s="19"/>
      <c r="Q27" s="19">
        <f>L27+N27+O27+P27</f>
        <v>0</v>
      </c>
      <c r="R27" s="15">
        <v>87785</v>
      </c>
    </row>
    <row r="28" spans="1:18" ht="11.25" outlineLevel="1">
      <c r="A28" s="15" t="s">
        <v>38</v>
      </c>
      <c r="C28" s="15">
        <v>9778.92</v>
      </c>
      <c r="D28" s="15">
        <v>39209.33</v>
      </c>
      <c r="F28" s="15">
        <v>12290.28</v>
      </c>
      <c r="H28" s="44">
        <v>63642.69</v>
      </c>
      <c r="I28" s="15">
        <v>-32.4</v>
      </c>
      <c r="L28" s="19">
        <f>SUM(B28:K28)</f>
        <v>124888.82</v>
      </c>
      <c r="M28" s="19">
        <v>246624</v>
      </c>
      <c r="P28" s="19"/>
      <c r="Q28" s="19">
        <f>L28+N28+O28+P28</f>
        <v>124888.82</v>
      </c>
      <c r="R28" s="15">
        <v>246624</v>
      </c>
    </row>
    <row r="30" spans="1:18" ht="11.25">
      <c r="A30" s="14" t="s">
        <v>27</v>
      </c>
      <c r="B30" s="15">
        <v>2935.62</v>
      </c>
      <c r="C30" s="15">
        <v>4700305.29</v>
      </c>
      <c r="I30" s="15">
        <v>34737.79</v>
      </c>
      <c r="L30" s="19">
        <f>SUM(B30:K30)</f>
        <v>4737978.7</v>
      </c>
      <c r="M30" s="19">
        <v>4690472</v>
      </c>
      <c r="P30" s="19"/>
      <c r="Q30" s="19">
        <f>L30+N30+O30+P30</f>
        <v>4737978.7</v>
      </c>
      <c r="R30" s="15">
        <v>4690472</v>
      </c>
    </row>
    <row r="31" spans="1:17" ht="11.25">
      <c r="A31" s="14"/>
      <c r="Q31" s="19"/>
    </row>
    <row r="32" spans="1:18" s="41" customFormat="1" ht="11.25">
      <c r="A32" s="38" t="s">
        <v>72</v>
      </c>
      <c r="B32" s="41">
        <f aca="true" t="shared" si="3" ref="B32:M32">((B18+B23+B28)/(B16+B17+B21+B22+B26+B27))</f>
        <v>0.07216768734468398</v>
      </c>
      <c r="C32" s="41">
        <f t="shared" si="3"/>
        <v>0.15545423177114953</v>
      </c>
      <c r="D32" s="41">
        <f t="shared" si="3"/>
        <v>0.24133961566500028</v>
      </c>
      <c r="E32" s="41">
        <f t="shared" si="3"/>
        <v>0.2905121639808511</v>
      </c>
      <c r="F32" s="41">
        <f t="shared" si="3"/>
        <v>0.20675092003361642</v>
      </c>
      <c r="G32" s="41">
        <f t="shared" si="3"/>
        <v>0.2762727154270458</v>
      </c>
      <c r="H32" s="41">
        <f t="shared" si="3"/>
        <v>0.317528546589913</v>
      </c>
      <c r="I32" s="41">
        <f t="shared" si="3"/>
        <v>0.3396800414832573</v>
      </c>
      <c r="J32" s="41">
        <v>0</v>
      </c>
      <c r="K32" s="41">
        <f t="shared" si="3"/>
        <v>0</v>
      </c>
      <c r="L32" s="41">
        <f t="shared" si="3"/>
        <v>0.19718760181018474</v>
      </c>
      <c r="M32" s="41">
        <f t="shared" si="3"/>
        <v>0.17078916649306272</v>
      </c>
      <c r="N32" s="41">
        <v>0</v>
      </c>
      <c r="O32" s="41">
        <f>((O18+O23+O28)/(O16+O17+O21+O22+O26+O27))</f>
        <v>0.7044013501886293</v>
      </c>
      <c r="P32" s="41">
        <f>((P18+P23+P28)/(P16+P17+P21+P22+P26+P27))</f>
        <v>0.07627732635241635</v>
      </c>
      <c r="Q32" s="41">
        <f>((Q18+Q23+Q28)/(Q16+Q17+Q21+Q22+Q26+Q27))</f>
        <v>0.19402263975408318</v>
      </c>
      <c r="R32" s="41">
        <f>((R18+R23+R28)/(R16+R17+R21+R22+R26+R27))</f>
        <v>0.17207234320290574</v>
      </c>
    </row>
    <row r="33" spans="2:18" ht="11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2" thickBot="1">
      <c r="A34" s="8" t="s">
        <v>7</v>
      </c>
      <c r="B34" s="21">
        <f aca="true" t="shared" si="4" ref="B34:R34">+B30+B25+B20+B15+B8</f>
        <v>7661248.04</v>
      </c>
      <c r="C34" s="21">
        <f t="shared" si="4"/>
        <v>49029186.14</v>
      </c>
      <c r="D34" s="21">
        <f t="shared" si="4"/>
        <v>27804889.07</v>
      </c>
      <c r="E34" s="21">
        <f t="shared" si="4"/>
        <v>6616175.7299999995</v>
      </c>
      <c r="F34" s="21">
        <f t="shared" si="4"/>
        <v>1057053.8099999998</v>
      </c>
      <c r="G34" s="21">
        <f t="shared" si="4"/>
        <v>20876282.78</v>
      </c>
      <c r="H34" s="21">
        <f t="shared" si="4"/>
        <v>5764993.949999999</v>
      </c>
      <c r="I34" s="21">
        <f t="shared" si="4"/>
        <v>11639425.79</v>
      </c>
      <c r="J34" s="21">
        <f t="shared" si="4"/>
        <v>1326167</v>
      </c>
      <c r="K34" s="21">
        <f t="shared" si="4"/>
        <v>7005412</v>
      </c>
      <c r="L34" s="21">
        <f t="shared" si="4"/>
        <v>138780835.28</v>
      </c>
      <c r="M34" s="21">
        <f t="shared" si="4"/>
        <v>140527393</v>
      </c>
      <c r="N34" s="21">
        <f>+N30+N25+N20+N15+N8</f>
        <v>-2691.79</v>
      </c>
      <c r="O34" s="21">
        <f>+O30+O25+O20+O15+O8</f>
        <v>14163.489999999998</v>
      </c>
      <c r="P34" s="21">
        <f>+P30+P25+P20+P15+P8</f>
        <v>3699225.0300000003</v>
      </c>
      <c r="Q34" s="21">
        <f t="shared" si="4"/>
        <v>142491532.01</v>
      </c>
      <c r="R34" s="21">
        <f t="shared" si="4"/>
        <v>143082659</v>
      </c>
    </row>
    <row r="35" ht="12" thickTop="1">
      <c r="F35" s="23" t="s">
        <v>34</v>
      </c>
    </row>
    <row r="36" spans="1:4" ht="11.25">
      <c r="A36" s="8"/>
      <c r="B36" s="2" t="s">
        <v>34</v>
      </c>
      <c r="D36" s="24"/>
    </row>
    <row r="37" spans="2:16" ht="11.25" hidden="1">
      <c r="B37" s="15">
        <f aca="true" t="shared" si="5" ref="B37:L37">B16+B17+B21+B22+B26+B27</f>
        <v>3304633.4</v>
      </c>
      <c r="C37" s="15">
        <f t="shared" si="5"/>
        <v>10103963.09</v>
      </c>
      <c r="D37" s="15">
        <f t="shared" si="5"/>
        <v>7745561.5600000005</v>
      </c>
      <c r="E37" s="15">
        <f t="shared" si="5"/>
        <v>369326.05</v>
      </c>
      <c r="F37" s="15">
        <f t="shared" si="5"/>
        <v>389333.6</v>
      </c>
      <c r="G37" s="15">
        <f t="shared" si="5"/>
        <v>7841829.79</v>
      </c>
      <c r="H37" s="15">
        <f t="shared" si="5"/>
        <v>2566931.82</v>
      </c>
      <c r="I37" s="15">
        <f t="shared" si="5"/>
        <v>4605501.41</v>
      </c>
      <c r="J37" s="15">
        <f t="shared" si="5"/>
        <v>0</v>
      </c>
      <c r="K37" s="15">
        <f t="shared" si="5"/>
        <v>5734049</v>
      </c>
      <c r="L37" s="15">
        <f t="shared" si="5"/>
        <v>42661129.720000006</v>
      </c>
      <c r="N37" s="15">
        <f>N16+N17+N21+N22+N26+N27</f>
        <v>-2691.79</v>
      </c>
      <c r="O37" s="15">
        <f>O16+O17+O21+O22+O26+O27</f>
        <v>8309.95</v>
      </c>
      <c r="P37" s="15">
        <f>P16+P17+P21+P22+P26+P27</f>
        <v>1187175.46</v>
      </c>
    </row>
    <row r="38" ht="11.25">
      <c r="C38" s="2" t="s">
        <v>34</v>
      </c>
    </row>
    <row r="39" spans="2:14" ht="11.25">
      <c r="B39" s="22"/>
      <c r="C39" s="22"/>
      <c r="D39" s="22"/>
      <c r="E39" s="22"/>
      <c r="F39" s="22"/>
      <c r="G39" s="22"/>
      <c r="H39" s="22"/>
      <c r="I39" s="22"/>
      <c r="N39" s="22"/>
    </row>
    <row r="40" spans="2:14" ht="11.25">
      <c r="B40" s="26"/>
      <c r="C40" s="26"/>
      <c r="D40" s="12"/>
      <c r="E40" s="22"/>
      <c r="F40" s="22"/>
      <c r="G40" s="22"/>
      <c r="H40" s="22"/>
      <c r="I40" s="22"/>
      <c r="N40" s="22" t="s">
        <v>34</v>
      </c>
    </row>
    <row r="41" spans="2:14" ht="11.25">
      <c r="B41" s="22"/>
      <c r="C41" s="22"/>
      <c r="D41" s="22"/>
      <c r="E41" s="22"/>
      <c r="F41" s="22"/>
      <c r="G41" s="22"/>
      <c r="H41" s="22"/>
      <c r="I41" s="22"/>
      <c r="N41" s="22"/>
    </row>
    <row r="42" spans="2:14" ht="11.25">
      <c r="B42" s="22"/>
      <c r="C42" s="22"/>
      <c r="D42" s="22"/>
      <c r="E42" s="22"/>
      <c r="F42" s="22"/>
      <c r="G42" s="22"/>
      <c r="H42" s="22"/>
      <c r="I42" s="22"/>
      <c r="N42" s="22"/>
    </row>
    <row r="43" spans="2:14" ht="11.25" hidden="1">
      <c r="B43" s="22"/>
      <c r="C43" s="22"/>
      <c r="D43" s="22"/>
      <c r="E43" s="22"/>
      <c r="F43" s="22"/>
      <c r="G43" s="22"/>
      <c r="H43" s="22"/>
      <c r="I43" s="22"/>
      <c r="N43" s="22"/>
    </row>
    <row r="44" spans="10:18" ht="11.25" hidden="1">
      <c r="J44" s="22"/>
      <c r="K44" s="22"/>
      <c r="L44" s="22"/>
      <c r="M44" s="22"/>
      <c r="P44" s="22"/>
      <c r="Q44" s="22"/>
      <c r="R44" s="22"/>
    </row>
    <row r="45" spans="10:18" ht="11.25" hidden="1">
      <c r="J45" s="22"/>
      <c r="K45" s="22"/>
      <c r="L45" s="22"/>
      <c r="M45" s="22"/>
      <c r="P45" s="22"/>
      <c r="Q45" s="22"/>
      <c r="R45" s="22"/>
    </row>
    <row r="46" spans="15:18" ht="11.25" hidden="1">
      <c r="O46" s="8" t="s">
        <v>62</v>
      </c>
      <c r="Q46" s="27" t="s">
        <v>50</v>
      </c>
      <c r="R46" s="27" t="s">
        <v>51</v>
      </c>
    </row>
    <row r="47" spans="10:18" ht="11.25" hidden="1">
      <c r="J47" s="2"/>
      <c r="K47" s="2"/>
      <c r="L47" s="2"/>
      <c r="M47" s="2"/>
      <c r="O47" s="8"/>
      <c r="P47" s="2"/>
      <c r="Q47" s="27" t="s">
        <v>52</v>
      </c>
      <c r="R47" s="27" t="s">
        <v>53</v>
      </c>
    </row>
    <row r="48" spans="10:16" ht="11.25" hidden="1">
      <c r="J48" s="2"/>
      <c r="K48" s="2"/>
      <c r="L48" s="2"/>
      <c r="M48" s="2"/>
      <c r="O48" s="2"/>
      <c r="P48" s="2"/>
    </row>
    <row r="49" spans="10:18" ht="11.25" hidden="1">
      <c r="J49" s="12"/>
      <c r="K49" s="12"/>
      <c r="L49" s="12"/>
      <c r="M49" s="12"/>
      <c r="O49" s="2" t="s">
        <v>63</v>
      </c>
      <c r="P49" s="12"/>
      <c r="Q49" s="19">
        <f>Q9+Q10+Q11+Q30-Q58</f>
        <v>83282867.34000002</v>
      </c>
      <c r="R49" s="19">
        <v>90606630.97</v>
      </c>
    </row>
    <row r="50" spans="10:18" ht="11.25" hidden="1">
      <c r="J50" s="12"/>
      <c r="K50" s="12"/>
      <c r="L50" s="12"/>
      <c r="M50" s="12"/>
      <c r="O50" s="2" t="s">
        <v>64</v>
      </c>
      <c r="P50" s="12"/>
      <c r="Q50" s="35">
        <f>Q16+Q17+Q21+Q22+Q26+Q27</f>
        <v>43853923.34</v>
      </c>
      <c r="R50" s="20">
        <v>46173714</v>
      </c>
    </row>
    <row r="51" spans="10:16" ht="11.25" hidden="1">
      <c r="J51" s="12"/>
      <c r="K51" s="12"/>
      <c r="L51" s="12"/>
      <c r="M51" s="12"/>
      <c r="O51" s="2"/>
      <c r="P51" s="12"/>
    </row>
    <row r="52" spans="10:18" ht="12" hidden="1" thickBot="1">
      <c r="J52" s="12"/>
      <c r="K52" s="12"/>
      <c r="L52" s="12"/>
      <c r="M52" s="12"/>
      <c r="O52" s="2" t="s">
        <v>65</v>
      </c>
      <c r="P52" s="12"/>
      <c r="Q52" s="21">
        <f>+Q49+Q50</f>
        <v>127136790.68000002</v>
      </c>
      <c r="R52" s="21">
        <f>+R49+R50</f>
        <v>136780344.97</v>
      </c>
    </row>
    <row r="53" spans="10:16" ht="12" hidden="1" thickTop="1">
      <c r="J53" s="12"/>
      <c r="K53" s="12"/>
      <c r="L53" s="12"/>
      <c r="M53" s="12"/>
      <c r="O53" s="2"/>
      <c r="P53" s="12"/>
    </row>
    <row r="54" spans="10:18" ht="11.25" hidden="1">
      <c r="J54" s="2"/>
      <c r="K54" s="2"/>
      <c r="L54" s="2"/>
      <c r="M54" s="2"/>
      <c r="O54" s="15" t="s">
        <v>35</v>
      </c>
      <c r="P54" s="2"/>
      <c r="Q54" s="19">
        <f>Q12</f>
        <v>6263339.300000001</v>
      </c>
      <c r="R54" s="15">
        <f>Q12</f>
        <v>6263339.300000001</v>
      </c>
    </row>
    <row r="55" spans="10:18" ht="11.25" hidden="1">
      <c r="J55" s="2"/>
      <c r="K55" s="2"/>
      <c r="L55" s="2"/>
      <c r="M55" s="2"/>
      <c r="O55" s="15" t="s">
        <v>36</v>
      </c>
      <c r="P55" s="2"/>
      <c r="Q55" s="29"/>
      <c r="R55" s="22"/>
    </row>
    <row r="56" spans="10:18" ht="11.25" hidden="1">
      <c r="J56" s="2"/>
      <c r="K56" s="2"/>
      <c r="L56" s="2"/>
      <c r="M56" s="2"/>
      <c r="O56" s="15" t="s">
        <v>38</v>
      </c>
      <c r="P56" s="2"/>
      <c r="Q56" s="29">
        <f>Q18+Q23+Q28</f>
        <v>8508653.97</v>
      </c>
      <c r="R56" s="22">
        <f>Q18+Q23+Q28</f>
        <v>8508653.97</v>
      </c>
    </row>
    <row r="57" spans="10:18" ht="11.25" hidden="1">
      <c r="J57" s="12"/>
      <c r="K57" s="12"/>
      <c r="L57" s="12"/>
      <c r="M57" s="12"/>
      <c r="O57" s="15" t="s">
        <v>37</v>
      </c>
      <c r="P57" s="12"/>
      <c r="Q57" s="29">
        <f>Q13</f>
        <v>582748.3099999999</v>
      </c>
      <c r="R57" s="22">
        <f>Q13</f>
        <v>582748.3099999999</v>
      </c>
    </row>
    <row r="58" spans="10:18" ht="11.25" hidden="1">
      <c r="J58" s="12"/>
      <c r="K58" s="12"/>
      <c r="L58" s="12"/>
      <c r="M58" s="12"/>
      <c r="O58" s="2" t="s">
        <v>66</v>
      </c>
      <c r="P58" s="12"/>
      <c r="Q58" s="29">
        <v>0</v>
      </c>
      <c r="R58" s="29">
        <v>0</v>
      </c>
    </row>
    <row r="59" spans="10:18" ht="11.25" hidden="1">
      <c r="J59" s="12"/>
      <c r="K59" s="12"/>
      <c r="L59" s="12"/>
      <c r="M59" s="12"/>
      <c r="O59" s="2" t="s">
        <v>73</v>
      </c>
      <c r="P59" s="12"/>
      <c r="Q59" s="29"/>
      <c r="R59" s="29">
        <v>0</v>
      </c>
    </row>
    <row r="60" spans="10:18" ht="11.25" hidden="1">
      <c r="J60" s="12"/>
      <c r="K60" s="12"/>
      <c r="L60" s="12"/>
      <c r="M60" s="12"/>
      <c r="O60" s="2" t="s">
        <v>74</v>
      </c>
      <c r="P60" s="12"/>
      <c r="Q60" s="29"/>
      <c r="R60" s="29"/>
    </row>
    <row r="61" spans="10:18" ht="11.25" hidden="1">
      <c r="J61" s="12"/>
      <c r="K61" s="12"/>
      <c r="L61" s="12"/>
      <c r="M61" s="12"/>
      <c r="O61" s="2" t="s">
        <v>75</v>
      </c>
      <c r="P61" s="12"/>
      <c r="Q61" s="29"/>
      <c r="R61" s="29">
        <v>0</v>
      </c>
    </row>
    <row r="62" spans="10:18" ht="11.25" hidden="1">
      <c r="J62" s="12"/>
      <c r="K62" s="12"/>
      <c r="L62" s="12"/>
      <c r="M62" s="12"/>
      <c r="O62" s="2" t="s">
        <v>60</v>
      </c>
      <c r="P62" s="12"/>
      <c r="Q62" s="20"/>
      <c r="R62" s="20">
        <v>0</v>
      </c>
    </row>
    <row r="63" spans="10:16" ht="11.25" hidden="1">
      <c r="J63" s="12"/>
      <c r="K63" s="12"/>
      <c r="L63" s="12"/>
      <c r="M63" s="12"/>
      <c r="O63" s="2"/>
      <c r="P63" s="12"/>
    </row>
    <row r="64" spans="10:18" ht="12" hidden="1" thickBot="1">
      <c r="J64" s="12"/>
      <c r="K64" s="12"/>
      <c r="L64" s="12"/>
      <c r="M64" s="12"/>
      <c r="O64" s="2" t="s">
        <v>7</v>
      </c>
      <c r="P64" s="12"/>
      <c r="Q64" s="21">
        <f>SUM(Q52:Q62)</f>
        <v>142491532.26000002</v>
      </c>
      <c r="R64" s="21">
        <f>SUM(R52:R62)</f>
        <v>152135086.55</v>
      </c>
    </row>
    <row r="65" spans="10:18" ht="12" hidden="1" thickTop="1">
      <c r="J65" s="22"/>
      <c r="K65" s="22"/>
      <c r="L65" s="22"/>
      <c r="M65" s="22"/>
      <c r="P65" s="22"/>
      <c r="Q65" s="15">
        <f>Q34-Q64</f>
        <v>-0.2500000298023224</v>
      </c>
      <c r="R65" s="15">
        <f>Q64-R64</f>
        <v>-9643554.289999992</v>
      </c>
    </row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</sheetData>
  <sheetProtection/>
  <printOptions horizontalCentered="1" verticalCentered="1"/>
  <pageMargins left="0" right="0" top="0.5" bottom="0.5" header="0.25" footer="0.25"/>
  <pageSetup fitToHeight="1" fitToWidth="1" horizontalDpi="300" verticalDpi="300" orientation="landscape" scale="73" r:id="rId1"/>
  <headerFooter alignWithMargins="0">
    <oddHeader>&amp;L11/04/15&amp;C&amp;F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67"/>
  <sheetViews>
    <sheetView zoomScalePageLayoutView="0" workbookViewId="0" topLeftCell="A1">
      <pane xSplit="1" ySplit="6" topLeftCell="B7" activePane="bottomRight" state="frozen"/>
      <selection pane="topLeft" activeCell="O2" sqref="O2"/>
      <selection pane="topRight" activeCell="O2" sqref="O2"/>
      <selection pane="bottomLeft" activeCell="O2" sqref="O2"/>
      <selection pane="bottomRight" activeCell="J1" sqref="J1:J16384"/>
    </sheetView>
  </sheetViews>
  <sheetFormatPr defaultColWidth="9.140625" defaultRowHeight="12.75" outlineLevelRow="1"/>
  <cols>
    <col min="1" max="1" width="18.8515625" style="15" customWidth="1"/>
    <col min="2" max="2" width="11.28125" style="15" customWidth="1"/>
    <col min="3" max="3" width="9.421875" style="15" customWidth="1"/>
    <col min="4" max="4" width="10.00390625" style="15" customWidth="1"/>
    <col min="5" max="5" width="10.28125" style="15" customWidth="1"/>
    <col min="6" max="6" width="11.00390625" style="15" customWidth="1"/>
    <col min="7" max="7" width="10.57421875" style="15" customWidth="1"/>
    <col min="8" max="8" width="8.140625" style="15" bestFit="1" customWidth="1"/>
    <col min="9" max="9" width="10.140625" style="15" customWidth="1"/>
    <col min="10" max="10" width="5.421875" style="15" bestFit="1" customWidth="1"/>
    <col min="11" max="11" width="7.8515625" style="15" bestFit="1" customWidth="1"/>
    <col min="12" max="13" width="10.00390625" style="15" customWidth="1"/>
    <col min="14" max="14" width="9.140625" style="15" customWidth="1"/>
    <col min="15" max="15" width="10.140625" style="15" customWidth="1"/>
    <col min="16" max="17" width="10.00390625" style="15" customWidth="1"/>
    <col min="18" max="18" width="8.8515625" style="15" bestFit="1" customWidth="1"/>
    <col min="19" max="16384" width="9.140625" style="15" customWidth="1"/>
  </cols>
  <sheetData>
    <row r="1" spans="1:18" ht="11.25">
      <c r="A1" s="8" t="s">
        <v>81</v>
      </c>
      <c r="H1" s="13"/>
      <c r="R1" s="32" t="s">
        <v>44</v>
      </c>
    </row>
    <row r="2" ht="11.25">
      <c r="A2" s="14" t="s">
        <v>32</v>
      </c>
    </row>
    <row r="3" ht="11.25">
      <c r="R3" s="28" t="s">
        <v>34</v>
      </c>
    </row>
    <row r="4" spans="1:18" ht="11.25">
      <c r="A4" s="14" t="s">
        <v>41</v>
      </c>
      <c r="B4" s="16"/>
      <c r="C4" s="16"/>
      <c r="D4" s="16"/>
      <c r="E4" s="16"/>
      <c r="F4" s="16"/>
      <c r="G4" s="16"/>
      <c r="H4" s="16" t="s">
        <v>1</v>
      </c>
      <c r="I4" s="16"/>
      <c r="J4" s="16"/>
      <c r="K4" s="16"/>
      <c r="L4" s="37" t="s">
        <v>82</v>
      </c>
      <c r="M4" s="37" t="s">
        <v>76</v>
      </c>
      <c r="N4" s="16"/>
      <c r="O4" s="16"/>
      <c r="P4" s="16" t="s">
        <v>29</v>
      </c>
      <c r="Q4" s="37" t="s">
        <v>82</v>
      </c>
      <c r="R4" s="37" t="s">
        <v>76</v>
      </c>
    </row>
    <row r="5" spans="2:18" ht="11.25">
      <c r="B5" s="16" t="s">
        <v>2</v>
      </c>
      <c r="C5" s="16"/>
      <c r="D5" s="16" t="s">
        <v>3</v>
      </c>
      <c r="E5" s="16"/>
      <c r="F5" s="16"/>
      <c r="G5" s="16"/>
      <c r="H5" s="16" t="s">
        <v>4</v>
      </c>
      <c r="I5" s="16" t="s">
        <v>5</v>
      </c>
      <c r="J5" s="37" t="s">
        <v>34</v>
      </c>
      <c r="K5" s="37"/>
      <c r="L5" s="37" t="s">
        <v>80</v>
      </c>
      <c r="M5" s="37" t="s">
        <v>80</v>
      </c>
      <c r="N5" s="16"/>
      <c r="O5" s="16" t="s">
        <v>6</v>
      </c>
      <c r="P5" s="16" t="s">
        <v>30</v>
      </c>
      <c r="Q5" s="16" t="s">
        <v>48</v>
      </c>
      <c r="R5" s="16" t="s">
        <v>7</v>
      </c>
    </row>
    <row r="6" spans="2:18" ht="11.25">
      <c r="B6" s="17" t="s">
        <v>8</v>
      </c>
      <c r="C6" s="17" t="s">
        <v>9</v>
      </c>
      <c r="D6" s="17" t="s">
        <v>10</v>
      </c>
      <c r="E6" s="17" t="s">
        <v>11</v>
      </c>
      <c r="F6" s="17" t="s">
        <v>12</v>
      </c>
      <c r="G6" s="17" t="s">
        <v>13</v>
      </c>
      <c r="H6" s="17" t="s">
        <v>10</v>
      </c>
      <c r="I6" s="17" t="s">
        <v>15</v>
      </c>
      <c r="J6" s="16" t="s">
        <v>26</v>
      </c>
      <c r="K6" s="37" t="s">
        <v>77</v>
      </c>
      <c r="L6" s="37" t="s">
        <v>79</v>
      </c>
      <c r="M6" s="37" t="s">
        <v>79</v>
      </c>
      <c r="N6" s="17" t="s">
        <v>14</v>
      </c>
      <c r="O6" s="17" t="s">
        <v>16</v>
      </c>
      <c r="P6" s="17" t="s">
        <v>10</v>
      </c>
      <c r="Q6" s="30" t="s">
        <v>8</v>
      </c>
      <c r="R6" s="17" t="s">
        <v>8</v>
      </c>
    </row>
    <row r="7" spans="1:17" s="19" customFormat="1" ht="11.25">
      <c r="A7" s="5" t="s">
        <v>17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8" ht="11.25" customHeight="1">
      <c r="A8" s="8" t="s">
        <v>18</v>
      </c>
      <c r="B8" s="15">
        <f aca="true" t="shared" si="0" ref="B8:R8">SUM(B9:B13)</f>
        <v>234016.1</v>
      </c>
      <c r="C8" s="15">
        <f t="shared" si="0"/>
        <v>85021.94</v>
      </c>
      <c r="D8" s="15">
        <f t="shared" si="0"/>
        <v>212498.95000000004</v>
      </c>
      <c r="E8" s="15">
        <f t="shared" si="0"/>
        <v>0</v>
      </c>
      <c r="F8" s="15">
        <f t="shared" si="0"/>
        <v>266340.41</v>
      </c>
      <c r="G8" s="15">
        <f t="shared" si="0"/>
        <v>146947.28999999998</v>
      </c>
      <c r="H8" s="15">
        <f t="shared" si="0"/>
        <v>37130.81</v>
      </c>
      <c r="I8" s="15">
        <f t="shared" si="0"/>
        <v>607437.0900000001</v>
      </c>
      <c r="J8" s="15">
        <f t="shared" si="0"/>
        <v>0</v>
      </c>
      <c r="K8" s="15">
        <f t="shared" si="0"/>
        <v>0</v>
      </c>
      <c r="L8" s="15">
        <f t="shared" si="0"/>
        <v>1589392.5900000003</v>
      </c>
      <c r="M8" s="15">
        <f t="shared" si="0"/>
        <v>1265977</v>
      </c>
      <c r="N8" s="15">
        <f>SUM(N9:N13)</f>
        <v>578303.2699999999</v>
      </c>
      <c r="O8" s="15">
        <f>SUM(O9:O13)</f>
        <v>5990476.77</v>
      </c>
      <c r="P8" s="15">
        <f>SUM(P9:P13)</f>
        <v>1166517.8699999999</v>
      </c>
      <c r="Q8" s="15">
        <f t="shared" si="0"/>
        <v>9324690.5</v>
      </c>
      <c r="R8" s="15">
        <f t="shared" si="0"/>
        <v>8117658</v>
      </c>
    </row>
    <row r="9" spans="1:18" s="19" customFormat="1" ht="11.25" customHeight="1">
      <c r="A9" s="19" t="s">
        <v>19</v>
      </c>
      <c r="F9" s="19">
        <v>71122.27</v>
      </c>
      <c r="L9" s="19">
        <f>SUM(B9:K9)</f>
        <v>71122.27</v>
      </c>
      <c r="M9" s="19">
        <v>152396</v>
      </c>
      <c r="Q9" s="19">
        <f>L9+N9+O9+P9</f>
        <v>71122.27</v>
      </c>
      <c r="R9" s="19">
        <v>152396</v>
      </c>
    </row>
    <row r="10" spans="1:18" s="19" customFormat="1" ht="11.25" customHeight="1" outlineLevel="1">
      <c r="A10" s="19" t="s">
        <v>20</v>
      </c>
      <c r="D10" s="19">
        <v>1623.29</v>
      </c>
      <c r="G10" s="19">
        <v>25352.9</v>
      </c>
      <c r="H10" s="19">
        <v>13758.02</v>
      </c>
      <c r="L10" s="19">
        <f>SUM(B10:K10)</f>
        <v>40734.21000000001</v>
      </c>
      <c r="M10" s="19">
        <v>30518</v>
      </c>
      <c r="P10" s="19">
        <v>425627.89</v>
      </c>
      <c r="Q10" s="19">
        <f>L10+N10+O10+P10</f>
        <v>466362.10000000003</v>
      </c>
      <c r="R10" s="19">
        <v>583891</v>
      </c>
    </row>
    <row r="11" spans="1:18" ht="11.25" outlineLevel="1">
      <c r="A11" s="15" t="s">
        <v>21</v>
      </c>
      <c r="L11" s="19">
        <f>SUM(B11:K11)</f>
        <v>0</v>
      </c>
      <c r="M11" s="19">
        <v>0</v>
      </c>
      <c r="Q11" s="19">
        <f>L11+N11+O11+P11</f>
        <v>0</v>
      </c>
      <c r="R11" s="15">
        <v>0</v>
      </c>
    </row>
    <row r="12" spans="1:18" ht="11.25" outlineLevel="1">
      <c r="A12" s="2" t="s">
        <v>78</v>
      </c>
      <c r="B12" s="15">
        <f>190816.23+43199.87</f>
        <v>234016.1</v>
      </c>
      <c r="C12" s="15">
        <f>44783.79+6456.41+32195.18+1586.56</f>
        <v>85021.94</v>
      </c>
      <c r="D12" s="15">
        <f>86846.89+121574.69+1562.89</f>
        <v>209984.47000000003</v>
      </c>
      <c r="F12" s="15">
        <f>2634.71+3659.3+8146.82+180777.31</f>
        <v>195218.13999999998</v>
      </c>
      <c r="G12" s="15">
        <f>107839.29-163.64</f>
        <v>107675.65</v>
      </c>
      <c r="H12" s="15">
        <f>15819.64</f>
        <v>15819.64</v>
      </c>
      <c r="I12" s="15">
        <f>-7.34+607444.43</f>
        <v>607437.0900000001</v>
      </c>
      <c r="L12" s="19">
        <f>SUM(B12:K12)</f>
        <v>1455173.0300000003</v>
      </c>
      <c r="M12" s="19">
        <v>1066278</v>
      </c>
      <c r="N12" s="15">
        <f>565534.95+12060.99+707.33</f>
        <v>578303.2699999999</v>
      </c>
      <c r="O12" s="15">
        <f>5579715.3+399318.71+11442.76</f>
        <v>5990476.77</v>
      </c>
      <c r="P12" s="15">
        <f>350990.14+125734.8+146691.74</f>
        <v>623416.6799999999</v>
      </c>
      <c r="Q12" s="19">
        <f>L12+N12+O12+P12</f>
        <v>8647369.75</v>
      </c>
      <c r="R12" s="15">
        <v>7211302</v>
      </c>
    </row>
    <row r="13" spans="1:18" ht="11.25" outlineLevel="1">
      <c r="A13" s="15" t="s">
        <v>37</v>
      </c>
      <c r="D13" s="15">
        <v>891.19</v>
      </c>
      <c r="G13" s="15">
        <v>13918.74</v>
      </c>
      <c r="H13" s="15">
        <v>7553.15</v>
      </c>
      <c r="L13" s="19">
        <f>SUM(B13:K13)</f>
        <v>22363.08</v>
      </c>
      <c r="M13" s="19">
        <v>16785</v>
      </c>
      <c r="P13" s="15">
        <v>117473.3</v>
      </c>
      <c r="Q13" s="19">
        <f>L13+N13+O13+P13</f>
        <v>139836.38</v>
      </c>
      <c r="R13" s="15">
        <v>170069</v>
      </c>
    </row>
    <row r="15" spans="1:20" ht="11.25">
      <c r="A15" s="14" t="s">
        <v>25</v>
      </c>
      <c r="B15" s="15">
        <f aca="true" t="shared" si="1" ref="B15:R15">SUM(B16:B18)</f>
        <v>457375.47</v>
      </c>
      <c r="C15" s="15">
        <f t="shared" si="1"/>
        <v>53123.93</v>
      </c>
      <c r="D15" s="15">
        <f t="shared" si="1"/>
        <v>624741.49</v>
      </c>
      <c r="E15" s="15">
        <f t="shared" si="1"/>
        <v>0</v>
      </c>
      <c r="F15" s="15">
        <f t="shared" si="1"/>
        <v>133523.72</v>
      </c>
      <c r="G15" s="15">
        <f t="shared" si="1"/>
        <v>-404.84</v>
      </c>
      <c r="H15" s="15">
        <f t="shared" si="1"/>
        <v>12061.36</v>
      </c>
      <c r="I15" s="15">
        <f t="shared" si="1"/>
        <v>2065434.98</v>
      </c>
      <c r="J15" s="15">
        <f t="shared" si="1"/>
        <v>0</v>
      </c>
      <c r="K15" s="15">
        <f t="shared" si="1"/>
        <v>0</v>
      </c>
      <c r="L15" s="15">
        <f t="shared" si="1"/>
        <v>3345856.11</v>
      </c>
      <c r="M15" s="15">
        <f t="shared" si="1"/>
        <v>4424511</v>
      </c>
      <c r="N15" s="15">
        <f>SUM(N16:N18)</f>
        <v>189772.68</v>
      </c>
      <c r="O15" s="15">
        <f>SUM(O16:O18)</f>
        <v>1384600.25</v>
      </c>
      <c r="P15" s="15">
        <f>SUM(P16:P18)</f>
        <v>1949376.73</v>
      </c>
      <c r="Q15" s="15">
        <f t="shared" si="1"/>
        <v>6869605.7700000005</v>
      </c>
      <c r="R15" s="15">
        <f t="shared" si="1"/>
        <v>5284762</v>
      </c>
      <c r="T15" s="15" t="e">
        <f>SUM(#REF!+#REF!+#REF!+#REF!)</f>
        <v>#REF!</v>
      </c>
    </row>
    <row r="16" spans="1:18" ht="11.25" outlineLevel="1">
      <c r="A16" s="15" t="s">
        <v>22</v>
      </c>
      <c r="B16" s="15">
        <v>457375.47</v>
      </c>
      <c r="C16" s="15">
        <f>42644.69+10479.24</f>
        <v>53123.93</v>
      </c>
      <c r="D16" s="19">
        <v>611771.24</v>
      </c>
      <c r="F16" s="15">
        <v>133523.72</v>
      </c>
      <c r="G16" s="15">
        <v>-404.84</v>
      </c>
      <c r="H16" s="15">
        <v>11487</v>
      </c>
      <c r="I16" s="2">
        <v>1911632.69</v>
      </c>
      <c r="L16" s="19">
        <f>SUM(B16:K16)</f>
        <v>3178509.21</v>
      </c>
      <c r="M16" s="19">
        <v>4230133</v>
      </c>
      <c r="N16" s="15">
        <v>189772.68</v>
      </c>
      <c r="O16" s="15">
        <v>1384600.25</v>
      </c>
      <c r="P16" s="15">
        <v>1935493.44</v>
      </c>
      <c r="Q16" s="19">
        <f>L16+N16+O16+P16</f>
        <v>6688375.58</v>
      </c>
      <c r="R16" s="15">
        <v>5077852</v>
      </c>
    </row>
    <row r="17" spans="1:18" ht="11.25" outlineLevel="1">
      <c r="A17" s="15" t="s">
        <v>46</v>
      </c>
      <c r="L17" s="19">
        <f>SUM(B17:K17)</f>
        <v>0</v>
      </c>
      <c r="M17" s="19">
        <v>0</v>
      </c>
      <c r="Q17" s="19">
        <f>L17+N17+O17+P17</f>
        <v>0</v>
      </c>
      <c r="R17" s="15">
        <v>0</v>
      </c>
    </row>
    <row r="18" spans="1:18" ht="11.25" outlineLevel="1">
      <c r="A18" s="15" t="s">
        <v>38</v>
      </c>
      <c r="D18" s="15">
        <v>12970.25</v>
      </c>
      <c r="H18" s="15">
        <v>574.36</v>
      </c>
      <c r="I18" s="15">
        <v>153802.29</v>
      </c>
      <c r="L18" s="19">
        <f>SUM(B18:K18)</f>
        <v>167346.90000000002</v>
      </c>
      <c r="M18" s="19">
        <v>194378</v>
      </c>
      <c r="P18" s="15">
        <v>13883.29</v>
      </c>
      <c r="Q18" s="19">
        <f>L18+N18+O18+P18</f>
        <v>181230.19000000003</v>
      </c>
      <c r="R18" s="15">
        <v>206910</v>
      </c>
    </row>
    <row r="20" spans="1:18" ht="11.25">
      <c r="A20" s="14" t="s">
        <v>23</v>
      </c>
      <c r="B20" s="15">
        <f aca="true" t="shared" si="2" ref="B20:R20">SUM(B21:B23)</f>
        <v>1327940.25</v>
      </c>
      <c r="C20" s="15">
        <f t="shared" si="2"/>
        <v>508447.6599999999</v>
      </c>
      <c r="D20" s="15">
        <f t="shared" si="2"/>
        <v>446284.13</v>
      </c>
      <c r="E20" s="15">
        <f t="shared" si="2"/>
        <v>0</v>
      </c>
      <c r="F20" s="15">
        <f t="shared" si="2"/>
        <v>5099918.82</v>
      </c>
      <c r="G20" s="15">
        <f t="shared" si="2"/>
        <v>266796.86</v>
      </c>
      <c r="H20" s="15">
        <f t="shared" si="2"/>
        <v>69659.64</v>
      </c>
      <c r="I20" s="15">
        <f t="shared" si="2"/>
        <v>-24.950000000000003</v>
      </c>
      <c r="J20" s="15">
        <f t="shared" si="2"/>
        <v>0</v>
      </c>
      <c r="K20" s="15">
        <f t="shared" si="2"/>
        <v>1695970</v>
      </c>
      <c r="L20" s="15">
        <f t="shared" si="2"/>
        <v>9414992.41</v>
      </c>
      <c r="M20" s="15">
        <f t="shared" si="2"/>
        <v>7076021</v>
      </c>
      <c r="N20" s="15">
        <f>SUM(N21:N23)</f>
        <v>1500311.52</v>
      </c>
      <c r="O20" s="15">
        <f>SUM(O21:O23)</f>
        <v>19347140.43</v>
      </c>
      <c r="P20" s="15">
        <f>SUM(P21:P23)</f>
        <v>5441707.67</v>
      </c>
      <c r="Q20" s="15">
        <f t="shared" si="2"/>
        <v>35704152.03</v>
      </c>
      <c r="R20" s="15">
        <f t="shared" si="2"/>
        <v>34559137</v>
      </c>
    </row>
    <row r="21" spans="1:18" ht="11.25" outlineLevel="1">
      <c r="A21" s="15" t="s">
        <v>22</v>
      </c>
      <c r="B21" s="15">
        <v>1212147.45</v>
      </c>
      <c r="C21" s="15">
        <f>251914.06+145823.65</f>
        <v>397737.70999999996</v>
      </c>
      <c r="D21" s="15">
        <v>411692.81</v>
      </c>
      <c r="F21" s="15">
        <v>155081.51</v>
      </c>
      <c r="G21" s="15">
        <v>266796.86</v>
      </c>
      <c r="H21" s="15">
        <v>69659.64</v>
      </c>
      <c r="I21" s="15">
        <v>-23.1</v>
      </c>
      <c r="K21" s="15">
        <v>1695970</v>
      </c>
      <c r="L21" s="19">
        <f>SUM(B21:K21)</f>
        <v>4209062.88</v>
      </c>
      <c r="M21" s="19">
        <v>2571382</v>
      </c>
      <c r="N21" s="15">
        <v>1323794.62</v>
      </c>
      <c r="O21" s="15">
        <v>18632634.1</v>
      </c>
      <c r="P21" s="15">
        <v>4674545.27</v>
      </c>
      <c r="Q21" s="19">
        <f>L21+N21+O21+P21</f>
        <v>28840036.87</v>
      </c>
      <c r="R21" s="15">
        <v>28220295</v>
      </c>
    </row>
    <row r="22" spans="1:18" ht="11.25" outlineLevel="1">
      <c r="A22" s="15" t="s">
        <v>46</v>
      </c>
      <c r="F22" s="15">
        <v>4127925.54</v>
      </c>
      <c r="L22" s="19">
        <f>SUM(B22:K22)</f>
        <v>4127925.54</v>
      </c>
      <c r="M22" s="19">
        <v>3549537</v>
      </c>
      <c r="Q22" s="19">
        <f>L22+N22+O22+P22</f>
        <v>4127925.54</v>
      </c>
      <c r="R22" s="15">
        <v>3549537</v>
      </c>
    </row>
    <row r="23" spans="1:18" ht="11.25" outlineLevel="1">
      <c r="A23" s="15" t="s">
        <v>38</v>
      </c>
      <c r="B23" s="15">
        <v>115792.8</v>
      </c>
      <c r="C23" s="15">
        <f>43883.77+66826.18</f>
        <v>110709.94999999998</v>
      </c>
      <c r="D23" s="15">
        <v>34591.32</v>
      </c>
      <c r="F23" s="15">
        <f>10407.75+806504.02</f>
        <v>816911.77</v>
      </c>
      <c r="I23" s="15">
        <v>-1.85</v>
      </c>
      <c r="L23" s="19">
        <f>SUM(B23:K23)</f>
        <v>1078003.99</v>
      </c>
      <c r="M23" s="19">
        <v>955102</v>
      </c>
      <c r="N23" s="15">
        <v>176516.9</v>
      </c>
      <c r="O23" s="15">
        <v>714506.33</v>
      </c>
      <c r="P23" s="15">
        <v>767162.4</v>
      </c>
      <c r="Q23" s="19">
        <f>L23+N23+O23+P23</f>
        <v>2736189.6199999996</v>
      </c>
      <c r="R23" s="15">
        <v>2789305</v>
      </c>
    </row>
    <row r="25" spans="1:18" ht="11.25">
      <c r="A25" s="14" t="s">
        <v>24</v>
      </c>
      <c r="B25" s="15">
        <f aca="true" t="shared" si="3" ref="B25:R25">SUM(B26:B28)</f>
        <v>0</v>
      </c>
      <c r="C25" s="15">
        <f t="shared" si="3"/>
        <v>0</v>
      </c>
      <c r="D25" s="15">
        <f t="shared" si="3"/>
        <v>8031.28</v>
      </c>
      <c r="E25" s="15">
        <f t="shared" si="3"/>
        <v>0</v>
      </c>
      <c r="F25" s="15">
        <f t="shared" si="3"/>
        <v>47674.98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58077</v>
      </c>
      <c r="L25" s="15">
        <f t="shared" si="3"/>
        <v>113783.26000000001</v>
      </c>
      <c r="M25" s="15">
        <f t="shared" si="3"/>
        <v>145834</v>
      </c>
      <c r="N25" s="15">
        <f>SUM(N26:N28)</f>
        <v>57254.25</v>
      </c>
      <c r="O25" s="15">
        <f>SUM(O26:O28)</f>
        <v>39676.71</v>
      </c>
      <c r="P25" s="15">
        <f>SUM(P26:P28)</f>
        <v>2274290.54</v>
      </c>
      <c r="Q25" s="15">
        <f t="shared" si="3"/>
        <v>2485004.7600000002</v>
      </c>
      <c r="R25" s="15">
        <f t="shared" si="3"/>
        <v>256807</v>
      </c>
    </row>
    <row r="26" spans="1:18" ht="11.25" outlineLevel="1">
      <c r="A26" s="15" t="s">
        <v>22</v>
      </c>
      <c r="D26" s="15">
        <v>8031.28</v>
      </c>
      <c r="F26" s="15">
        <v>47674.98</v>
      </c>
      <c r="K26" s="15">
        <v>58077</v>
      </c>
      <c r="L26" s="19">
        <f>SUM(B26:K26)</f>
        <v>113783.26000000001</v>
      </c>
      <c r="M26" s="19">
        <v>145834</v>
      </c>
      <c r="N26" s="15">
        <v>57254.25</v>
      </c>
      <c r="O26" s="15">
        <v>39676.71</v>
      </c>
      <c r="P26" s="15">
        <v>2231809.04</v>
      </c>
      <c r="Q26" s="19">
        <f>L26+N26+O26+P26</f>
        <v>2442523.2600000002</v>
      </c>
      <c r="R26" s="15">
        <v>229118</v>
      </c>
    </row>
    <row r="27" spans="1:18" ht="11.25" outlineLevel="1">
      <c r="A27" s="15" t="s">
        <v>46</v>
      </c>
      <c r="L27" s="19">
        <f>SUM(B27:K27)</f>
        <v>0</v>
      </c>
      <c r="M27" s="19">
        <v>0</v>
      </c>
      <c r="Q27" s="19">
        <f>L27+N27+O27+P27</f>
        <v>0</v>
      </c>
      <c r="R27" s="15">
        <v>0</v>
      </c>
    </row>
    <row r="28" spans="1:18" ht="11.25" outlineLevel="1">
      <c r="A28" s="15" t="s">
        <v>38</v>
      </c>
      <c r="L28" s="19">
        <f>SUM(B28:K28)</f>
        <v>0</v>
      </c>
      <c r="M28" s="19">
        <v>0</v>
      </c>
      <c r="P28" s="15">
        <v>42481.5</v>
      </c>
      <c r="Q28" s="19">
        <f>L28+N28+O28+P28</f>
        <v>42481.5</v>
      </c>
      <c r="R28" s="15">
        <v>27689</v>
      </c>
    </row>
    <row r="30" spans="1:18" ht="11.25">
      <c r="A30" s="14" t="s">
        <v>27</v>
      </c>
      <c r="L30" s="19">
        <f>SUM(B30:K30)</f>
        <v>0</v>
      </c>
      <c r="M30" s="19">
        <v>0</v>
      </c>
      <c r="Q30" s="19">
        <f>L30+N30+O30+P30</f>
        <v>0</v>
      </c>
      <c r="R30" s="15">
        <v>0</v>
      </c>
    </row>
    <row r="31" spans="1:17" ht="11.25">
      <c r="A31" s="14"/>
      <c r="Q31" s="19"/>
    </row>
    <row r="32" spans="1:18" s="41" customFormat="1" ht="11.25">
      <c r="A32" s="38" t="s">
        <v>72</v>
      </c>
      <c r="B32" s="41">
        <f aca="true" t="shared" si="4" ref="B32:M32">((B18+B23+B28)/(B16+B17+B21+B22+B26+B27))</f>
        <v>0.06935681961167685</v>
      </c>
      <c r="C32" s="41">
        <f t="shared" si="4"/>
        <v>0.24555193917140522</v>
      </c>
      <c r="D32" s="41">
        <f t="shared" si="4"/>
        <v>0.04610934108640123</v>
      </c>
      <c r="E32" s="41">
        <v>0</v>
      </c>
      <c r="F32" s="41">
        <f t="shared" si="4"/>
        <v>0.18299151422400278</v>
      </c>
      <c r="G32" s="41">
        <f t="shared" si="4"/>
        <v>0</v>
      </c>
      <c r="H32" s="41">
        <f t="shared" si="4"/>
        <v>0.00707805030497874</v>
      </c>
      <c r="I32" s="41">
        <f t="shared" si="4"/>
        <v>0.08045598892397271</v>
      </c>
      <c r="J32" s="41">
        <v>0</v>
      </c>
      <c r="K32" s="41">
        <v>0</v>
      </c>
      <c r="L32" s="41">
        <f t="shared" si="4"/>
        <v>0.10708752344875215</v>
      </c>
      <c r="M32" s="41">
        <f t="shared" si="4"/>
        <v>0.10950676229121666</v>
      </c>
      <c r="N32" s="41">
        <f>((N18+N23+N28)/(N16+N17+N21+N22+N26+N27))</f>
        <v>0.11237234426787689</v>
      </c>
      <c r="O32" s="41">
        <f>((O18+O23+O28)/(O16+O17+O21+O22+O26+O27))</f>
        <v>0.035623946671676565</v>
      </c>
      <c r="P32" s="41">
        <f>((P18+P23+P28)/(P16+P17+P21+P22+P26+P27))</f>
        <v>0.09313971618658555</v>
      </c>
      <c r="Q32" s="41">
        <f>((Q18+Q23+Q28)/(Q16+Q17+Q21+Q22+Q26+Q27))</f>
        <v>0.07030834616696431</v>
      </c>
      <c r="R32" s="41">
        <f>((R18+R23+R28)/(R16+R17+R21+R22+R26+R27))</f>
        <v>0.08155784309552912</v>
      </c>
    </row>
    <row r="33" spans="2:18" ht="11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2" thickBot="1">
      <c r="A34" s="8" t="s">
        <v>7</v>
      </c>
      <c r="B34" s="21">
        <f aca="true" t="shared" si="5" ref="B34:R34">+B30+B25+B20+B15+B8</f>
        <v>2019331.82</v>
      </c>
      <c r="C34" s="21">
        <f t="shared" si="5"/>
        <v>646593.53</v>
      </c>
      <c r="D34" s="21">
        <f t="shared" si="5"/>
        <v>1291555.8499999999</v>
      </c>
      <c r="E34" s="21">
        <f t="shared" si="5"/>
        <v>0</v>
      </c>
      <c r="F34" s="21">
        <f t="shared" si="5"/>
        <v>5547457.930000001</v>
      </c>
      <c r="G34" s="21">
        <f t="shared" si="5"/>
        <v>413339.30999999994</v>
      </c>
      <c r="H34" s="21">
        <f t="shared" si="5"/>
        <v>118851.81</v>
      </c>
      <c r="I34" s="21">
        <f t="shared" si="5"/>
        <v>2672847.12</v>
      </c>
      <c r="J34" s="21">
        <f t="shared" si="5"/>
        <v>0</v>
      </c>
      <c r="K34" s="21">
        <f t="shared" si="5"/>
        <v>1754047</v>
      </c>
      <c r="L34" s="21">
        <f t="shared" si="5"/>
        <v>14464024.37</v>
      </c>
      <c r="M34" s="21">
        <f t="shared" si="5"/>
        <v>12912343</v>
      </c>
      <c r="N34" s="21">
        <f>+N30+N25+N20+N15+N8</f>
        <v>2325641.7199999997</v>
      </c>
      <c r="O34" s="21">
        <f>+O30+O25+O20+O15+O8</f>
        <v>26761894.16</v>
      </c>
      <c r="P34" s="21">
        <f>+P30+P25+P20+P15+P8</f>
        <v>10831892.809999999</v>
      </c>
      <c r="Q34" s="21">
        <f t="shared" si="5"/>
        <v>54383453.06</v>
      </c>
      <c r="R34" s="21">
        <f t="shared" si="5"/>
        <v>48218364</v>
      </c>
    </row>
    <row r="35" ht="12" thickTop="1">
      <c r="F35" s="23" t="s">
        <v>34</v>
      </c>
    </row>
    <row r="37" spans="2:16" ht="11.25" hidden="1">
      <c r="B37" s="22">
        <f aca="true" t="shared" si="6" ref="B37:L37">B16+B17+B21+B22+B26+B27</f>
        <v>1669522.92</v>
      </c>
      <c r="C37" s="22">
        <f t="shared" si="6"/>
        <v>450861.63999999996</v>
      </c>
      <c r="D37" s="22">
        <f t="shared" si="6"/>
        <v>1031495.3300000001</v>
      </c>
      <c r="E37" s="22">
        <f t="shared" si="6"/>
        <v>0</v>
      </c>
      <c r="F37" s="22">
        <f t="shared" si="6"/>
        <v>4464205.75</v>
      </c>
      <c r="G37" s="22">
        <f t="shared" si="6"/>
        <v>266392.01999999996</v>
      </c>
      <c r="H37" s="22">
        <f t="shared" si="6"/>
        <v>81146.64</v>
      </c>
      <c r="I37" s="22">
        <f t="shared" si="6"/>
        <v>1911609.5899999999</v>
      </c>
      <c r="J37" s="22">
        <f t="shared" si="6"/>
        <v>0</v>
      </c>
      <c r="K37" s="22"/>
      <c r="L37" s="22">
        <f t="shared" si="6"/>
        <v>11629280.889999999</v>
      </c>
      <c r="N37" s="22">
        <f>N16+N17+N21+N22+N26+N27</f>
        <v>1570821.55</v>
      </c>
      <c r="O37" s="22">
        <f>O16+O17+O21+O22+O26+O27</f>
        <v>20056911.060000002</v>
      </c>
      <c r="P37" s="22">
        <f>P16+P17+P21+P22+P26+P27</f>
        <v>8841847.75</v>
      </c>
    </row>
    <row r="38" spans="1:8" ht="11.25">
      <c r="A38" s="8"/>
      <c r="B38" s="22"/>
      <c r="C38" s="22"/>
      <c r="D38" s="22"/>
      <c r="E38" s="22"/>
      <c r="F38" s="22"/>
      <c r="G38" s="22"/>
      <c r="H38" s="22"/>
    </row>
    <row r="39" spans="2:8" ht="11.25">
      <c r="B39" s="22"/>
      <c r="C39" s="22"/>
      <c r="D39" s="22"/>
      <c r="E39" s="22"/>
      <c r="F39" s="22"/>
      <c r="G39" s="22"/>
      <c r="H39" s="22"/>
    </row>
    <row r="40" spans="2:8" ht="11.25">
      <c r="B40" s="22"/>
      <c r="C40" s="22"/>
      <c r="D40" s="22"/>
      <c r="E40" s="22"/>
      <c r="F40" s="22"/>
      <c r="G40" s="22"/>
      <c r="H40" s="22"/>
    </row>
    <row r="41" spans="2:14" ht="11.25">
      <c r="B41" s="22"/>
      <c r="C41" s="22"/>
      <c r="D41" s="22"/>
      <c r="E41" s="22"/>
      <c r="F41" s="22"/>
      <c r="G41" s="22"/>
      <c r="H41" s="22"/>
      <c r="I41" s="22"/>
      <c r="N41" s="22"/>
    </row>
    <row r="42" spans="2:14" ht="11.25">
      <c r="B42" s="22"/>
      <c r="C42" s="22"/>
      <c r="D42" s="22"/>
      <c r="E42" s="22"/>
      <c r="F42" s="22"/>
      <c r="G42" s="22"/>
      <c r="H42" s="22"/>
      <c r="I42" s="22"/>
      <c r="N42" s="22"/>
    </row>
    <row r="43" spans="2:8" ht="11.25">
      <c r="B43" s="22"/>
      <c r="C43" s="22"/>
      <c r="D43" s="22"/>
      <c r="E43" s="22"/>
      <c r="F43" s="22"/>
      <c r="G43" s="22"/>
      <c r="H43" s="22"/>
    </row>
    <row r="44" spans="2:19" ht="11.25">
      <c r="B44" s="22"/>
      <c r="C44" s="22"/>
      <c r="D44" s="22"/>
      <c r="E44" s="22"/>
      <c r="F44" s="22"/>
      <c r="G44" s="22"/>
      <c r="H44" s="22"/>
      <c r="J44" s="22"/>
      <c r="K44" s="22"/>
      <c r="L44" s="22"/>
      <c r="M44" s="22"/>
      <c r="O44" s="22"/>
      <c r="P44" s="22"/>
      <c r="Q44" s="22"/>
      <c r="R44" s="22"/>
      <c r="S44" s="22"/>
    </row>
    <row r="45" spans="2:19" ht="11.25">
      <c r="B45" s="22"/>
      <c r="C45" s="22"/>
      <c r="D45" s="22"/>
      <c r="E45" s="22"/>
      <c r="F45" s="22"/>
      <c r="G45" s="22"/>
      <c r="H45" s="22"/>
      <c r="J45" s="22"/>
      <c r="K45" s="22"/>
      <c r="L45" s="22"/>
      <c r="M45" s="22"/>
      <c r="O45" s="22"/>
      <c r="P45" s="22"/>
      <c r="Q45" s="22"/>
      <c r="R45" s="22"/>
      <c r="S45" s="22"/>
    </row>
    <row r="46" spans="2:19" ht="11.25" hidden="1">
      <c r="B46" s="26"/>
      <c r="C46" s="12"/>
      <c r="D46" s="12"/>
      <c r="J46" s="22"/>
      <c r="K46" s="22"/>
      <c r="L46" s="22"/>
      <c r="M46" s="22"/>
      <c r="O46" s="22"/>
      <c r="P46" s="22"/>
      <c r="Q46" s="22"/>
      <c r="R46" s="22"/>
      <c r="S46" s="22"/>
    </row>
    <row r="47" spans="10:19" ht="11.25" hidden="1">
      <c r="J47" s="2"/>
      <c r="K47" s="2"/>
      <c r="L47" s="2"/>
      <c r="M47" s="2"/>
      <c r="O47" s="8" t="s">
        <v>49</v>
      </c>
      <c r="P47" s="2"/>
      <c r="Q47" s="27" t="s">
        <v>50</v>
      </c>
      <c r="R47" s="27" t="s">
        <v>51</v>
      </c>
      <c r="S47" s="22"/>
    </row>
    <row r="48" spans="10:19" ht="11.25" hidden="1">
      <c r="J48" s="2"/>
      <c r="K48" s="2"/>
      <c r="L48" s="2"/>
      <c r="M48" s="2"/>
      <c r="O48" s="2"/>
      <c r="P48" s="2"/>
      <c r="Q48" s="27" t="s">
        <v>52</v>
      </c>
      <c r="R48" s="27" t="s">
        <v>53</v>
      </c>
      <c r="S48" s="22"/>
    </row>
    <row r="49" spans="10:19" ht="11.25" hidden="1">
      <c r="J49" s="12"/>
      <c r="K49" s="12"/>
      <c r="L49" s="12"/>
      <c r="M49" s="12"/>
      <c r="O49" s="2"/>
      <c r="P49" s="12"/>
      <c r="Q49" s="19"/>
      <c r="S49" s="22"/>
    </row>
    <row r="50" spans="10:19" ht="11.25" hidden="1">
      <c r="J50" s="12"/>
      <c r="K50" s="12"/>
      <c r="L50" s="12"/>
      <c r="M50" s="12"/>
      <c r="O50" s="2" t="s">
        <v>67</v>
      </c>
      <c r="P50" s="12"/>
      <c r="Q50" s="35">
        <f>Q17+Q16+Q21+Q22+Q26+Q27-Q59+Q9</f>
        <v>42169983.52</v>
      </c>
      <c r="R50" s="20">
        <v>40437868.64</v>
      </c>
      <c r="S50" s="22"/>
    </row>
    <row r="51" spans="10:19" ht="11.25" hidden="1">
      <c r="J51" s="12"/>
      <c r="K51" s="12"/>
      <c r="L51" s="12"/>
      <c r="M51" s="12"/>
      <c r="O51" s="2"/>
      <c r="P51" s="12"/>
      <c r="Q51" s="19"/>
      <c r="S51" s="22"/>
    </row>
    <row r="52" spans="10:19" ht="12" hidden="1" thickBot="1">
      <c r="J52" s="12"/>
      <c r="K52" s="12"/>
      <c r="L52" s="12"/>
      <c r="M52" s="12"/>
      <c r="O52" s="2" t="s">
        <v>65</v>
      </c>
      <c r="P52" s="12"/>
      <c r="Q52" s="36">
        <f>Q50</f>
        <v>42169983.52</v>
      </c>
      <c r="R52" s="21">
        <f>R50</f>
        <v>40437868.64</v>
      </c>
      <c r="S52" s="22"/>
    </row>
    <row r="53" spans="2:19" ht="12" hidden="1" thickTop="1">
      <c r="B53" s="22"/>
      <c r="C53" s="22"/>
      <c r="D53" s="22"/>
      <c r="E53" s="22"/>
      <c r="F53" s="22"/>
      <c r="G53" s="22"/>
      <c r="H53" s="22"/>
      <c r="I53" s="22"/>
      <c r="J53" s="12"/>
      <c r="K53" s="12"/>
      <c r="L53" s="12"/>
      <c r="M53" s="12"/>
      <c r="N53" s="22"/>
      <c r="O53" s="2"/>
      <c r="P53" s="12"/>
      <c r="Q53" s="19"/>
      <c r="S53" s="22"/>
    </row>
    <row r="54" spans="10:19" ht="11.25" hidden="1">
      <c r="J54" s="2"/>
      <c r="K54" s="2"/>
      <c r="L54" s="2"/>
      <c r="M54" s="2"/>
      <c r="O54" s="15" t="s">
        <v>35</v>
      </c>
      <c r="P54" s="2"/>
      <c r="Q54" s="19">
        <f>SUM(Q12)</f>
        <v>8647369.75</v>
      </c>
      <c r="R54" s="15">
        <f>SUM(Q12)</f>
        <v>8647369.75</v>
      </c>
      <c r="S54" s="22"/>
    </row>
    <row r="55" spans="10:19" ht="11.25" hidden="1">
      <c r="J55" s="2"/>
      <c r="K55" s="2"/>
      <c r="L55" s="2"/>
      <c r="M55" s="2"/>
      <c r="O55" s="15" t="s">
        <v>36</v>
      </c>
      <c r="P55" s="2"/>
      <c r="Q55" s="29"/>
      <c r="R55" s="22"/>
      <c r="S55" s="22"/>
    </row>
    <row r="56" spans="10:19" ht="11.25" hidden="1">
      <c r="J56" s="2"/>
      <c r="K56" s="2"/>
      <c r="L56" s="2"/>
      <c r="M56" s="2"/>
      <c r="O56" s="15" t="s">
        <v>38</v>
      </c>
      <c r="P56" s="2"/>
      <c r="Q56" s="29">
        <f>SUM(Q28+Q18+Q23)</f>
        <v>2959901.3099999996</v>
      </c>
      <c r="R56" s="22">
        <f>SUM(Q28+Q18+Q23)</f>
        <v>2959901.3099999996</v>
      </c>
      <c r="S56" s="22"/>
    </row>
    <row r="57" spans="10:19" ht="11.25" hidden="1">
      <c r="J57" s="12"/>
      <c r="K57" s="12"/>
      <c r="L57" s="12"/>
      <c r="M57" s="12"/>
      <c r="O57" s="15" t="s">
        <v>37</v>
      </c>
      <c r="P57" s="12"/>
      <c r="Q57" s="29">
        <f>SUM(Q13)</f>
        <v>139836.38</v>
      </c>
      <c r="R57" s="22">
        <f>SUM(Q13)</f>
        <v>139836.38</v>
      </c>
      <c r="S57" s="22"/>
    </row>
    <row r="58" spans="10:19" ht="11.25" hidden="1">
      <c r="J58" s="2"/>
      <c r="K58" s="2"/>
      <c r="L58" s="2"/>
      <c r="M58" s="2"/>
      <c r="O58" s="2" t="s">
        <v>68</v>
      </c>
      <c r="P58" s="2"/>
      <c r="Q58" s="29">
        <f>Q10</f>
        <v>466362.10000000003</v>
      </c>
      <c r="R58" s="22">
        <f>Q10</f>
        <v>466362.10000000003</v>
      </c>
      <c r="S58" s="22"/>
    </row>
    <row r="59" spans="10:19" ht="11.25" hidden="1">
      <c r="J59" s="12"/>
      <c r="K59" s="12"/>
      <c r="L59" s="12"/>
      <c r="M59" s="12"/>
      <c r="O59" s="2" t="s">
        <v>58</v>
      </c>
      <c r="P59" s="12"/>
      <c r="Q59" s="29">
        <v>0</v>
      </c>
      <c r="R59" s="22">
        <v>0</v>
      </c>
      <c r="S59" s="22"/>
    </row>
    <row r="60" spans="10:19" ht="11.25" hidden="1">
      <c r="J60" s="12"/>
      <c r="K60" s="12"/>
      <c r="L60" s="12"/>
      <c r="M60" s="12"/>
      <c r="O60" s="2" t="s">
        <v>59</v>
      </c>
      <c r="P60" s="12"/>
      <c r="Q60" s="35"/>
      <c r="R60" s="20">
        <v>0</v>
      </c>
      <c r="S60" s="22"/>
    </row>
    <row r="61" spans="10:19" ht="11.25" hidden="1">
      <c r="J61" s="12"/>
      <c r="K61" s="12"/>
      <c r="L61" s="12"/>
      <c r="M61" s="12"/>
      <c r="O61" s="2"/>
      <c r="P61" s="12"/>
      <c r="S61" s="22"/>
    </row>
    <row r="62" spans="10:19" ht="12" hidden="1" thickBot="1">
      <c r="J62" s="12"/>
      <c r="K62" s="12"/>
      <c r="L62" s="12"/>
      <c r="M62" s="12"/>
      <c r="O62" s="2" t="s">
        <v>7</v>
      </c>
      <c r="P62" s="12"/>
      <c r="Q62" s="21">
        <f>SUM(Q52:Q60)</f>
        <v>54383453.06000001</v>
      </c>
      <c r="R62" s="21">
        <f>SUM(R52:R60)</f>
        <v>52651338.18000001</v>
      </c>
      <c r="S62" s="22"/>
    </row>
    <row r="63" spans="17:19" ht="12" hidden="1" thickTop="1">
      <c r="Q63" s="15">
        <f>+Q34-Q62</f>
        <v>0</v>
      </c>
      <c r="R63" s="15">
        <f>Q62-R62</f>
        <v>1732114.8800000027</v>
      </c>
      <c r="S63" s="22"/>
    </row>
    <row r="64" spans="10:19" ht="11.25" hidden="1">
      <c r="J64" s="22"/>
      <c r="K64" s="22"/>
      <c r="L64" s="22"/>
      <c r="M64" s="22"/>
      <c r="O64" s="22"/>
      <c r="P64" s="22"/>
      <c r="Q64" s="22"/>
      <c r="R64" s="22"/>
      <c r="S64" s="22"/>
    </row>
    <row r="65" spans="10:19" ht="11.25" hidden="1">
      <c r="J65" s="22"/>
      <c r="K65" s="22"/>
      <c r="L65" s="22"/>
      <c r="M65" s="22"/>
      <c r="O65" s="22"/>
      <c r="P65" s="22"/>
      <c r="Q65" s="22"/>
      <c r="R65" s="22"/>
      <c r="S65" s="22"/>
    </row>
    <row r="66" spans="10:19" ht="11.25" hidden="1">
      <c r="J66" s="22"/>
      <c r="K66" s="22"/>
      <c r="L66" s="22"/>
      <c r="M66" s="22"/>
      <c r="O66" s="22"/>
      <c r="P66" s="22"/>
      <c r="Q66" s="22"/>
      <c r="R66" s="22"/>
      <c r="S66" s="22"/>
    </row>
    <row r="67" spans="10:19" ht="11.25" hidden="1">
      <c r="J67" s="22"/>
      <c r="K67" s="22"/>
      <c r="L67" s="22"/>
      <c r="M67" s="22"/>
      <c r="O67" s="22"/>
      <c r="P67" s="22"/>
      <c r="Q67" s="22"/>
      <c r="R67" s="22"/>
      <c r="S67" s="22"/>
    </row>
  </sheetData>
  <sheetProtection/>
  <printOptions horizontalCentered="1" verticalCentered="1"/>
  <pageMargins left="0" right="0" top="0.5" bottom="0.5" header="0.25" footer="0.25"/>
  <pageSetup fitToHeight="1" fitToWidth="1" horizontalDpi="300" verticalDpi="300" orientation="landscape" scale="78" r:id="rId1"/>
  <headerFooter alignWithMargins="0">
    <oddHeader>&amp;L11/04/15&amp;C&amp;F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65"/>
  <sheetViews>
    <sheetView zoomScalePageLayoutView="0" workbookViewId="0" topLeftCell="A1">
      <pane xSplit="1" ySplit="6" topLeftCell="B7" activePane="bottomRight" state="frozen"/>
      <selection pane="topLeft" activeCell="O2" sqref="O2"/>
      <selection pane="topRight" activeCell="O2" sqref="O2"/>
      <selection pane="bottomLeft" activeCell="O2" sqref="O2"/>
      <selection pane="bottomRight" activeCell="J1" sqref="J1:J16384"/>
    </sheetView>
  </sheetViews>
  <sheetFormatPr defaultColWidth="9.140625" defaultRowHeight="12.75" outlineLevelRow="1"/>
  <cols>
    <col min="1" max="1" width="18.8515625" style="15" customWidth="1"/>
    <col min="2" max="2" width="10.57421875" style="15" customWidth="1"/>
    <col min="3" max="3" width="9.8515625" style="15" bestFit="1" customWidth="1"/>
    <col min="4" max="4" width="10.00390625" style="15" customWidth="1"/>
    <col min="5" max="5" width="10.28125" style="15" customWidth="1"/>
    <col min="6" max="6" width="9.140625" style="15" customWidth="1"/>
    <col min="7" max="7" width="10.421875" style="15" bestFit="1" customWidth="1"/>
    <col min="8" max="8" width="9.140625" style="15" customWidth="1"/>
    <col min="9" max="9" width="10.140625" style="15" customWidth="1"/>
    <col min="10" max="10" width="6.57421875" style="15" bestFit="1" customWidth="1"/>
    <col min="11" max="13" width="9.140625" style="15" customWidth="1"/>
    <col min="14" max="14" width="10.140625" style="15" customWidth="1"/>
    <col min="15" max="15" width="10.00390625" style="15" customWidth="1"/>
    <col min="16" max="16" width="10.00390625" style="15" bestFit="1" customWidth="1"/>
    <col min="17" max="17" width="10.140625" style="15" bestFit="1" customWidth="1"/>
    <col min="18" max="16384" width="9.140625" style="15" customWidth="1"/>
  </cols>
  <sheetData>
    <row r="1" spans="1:17" ht="11.25">
      <c r="A1" s="8" t="s">
        <v>81</v>
      </c>
      <c r="H1" s="13"/>
      <c r="Q1" s="32" t="s">
        <v>45</v>
      </c>
    </row>
    <row r="2" ht="11.25">
      <c r="A2" s="14" t="s">
        <v>28</v>
      </c>
    </row>
    <row r="3" ht="11.25">
      <c r="Q3" s="28" t="s">
        <v>34</v>
      </c>
    </row>
    <row r="4" spans="1:17" ht="11.25">
      <c r="A4" s="14" t="s">
        <v>41</v>
      </c>
      <c r="B4" s="16"/>
      <c r="C4" s="16"/>
      <c r="D4" s="16"/>
      <c r="E4" s="16"/>
      <c r="F4" s="16"/>
      <c r="G4" s="16"/>
      <c r="H4" s="16" t="s">
        <v>1</v>
      </c>
      <c r="I4" s="16"/>
      <c r="J4" s="16"/>
      <c r="K4" s="37" t="s">
        <v>82</v>
      </c>
      <c r="L4" s="37" t="s">
        <v>76</v>
      </c>
      <c r="M4" s="16"/>
      <c r="N4" s="16"/>
      <c r="O4" s="16" t="s">
        <v>29</v>
      </c>
      <c r="P4" s="37" t="s">
        <v>82</v>
      </c>
      <c r="Q4" s="37" t="s">
        <v>76</v>
      </c>
    </row>
    <row r="5" spans="2:17" ht="11.25">
      <c r="B5" s="16" t="s">
        <v>2</v>
      </c>
      <c r="C5" s="16"/>
      <c r="D5" s="16" t="s">
        <v>3</v>
      </c>
      <c r="E5" s="16"/>
      <c r="F5" s="16"/>
      <c r="G5" s="16"/>
      <c r="H5" s="16" t="s">
        <v>4</v>
      </c>
      <c r="I5" s="16" t="s">
        <v>5</v>
      </c>
      <c r="J5" s="16"/>
      <c r="K5" s="37" t="s">
        <v>80</v>
      </c>
      <c r="L5" s="37" t="s">
        <v>80</v>
      </c>
      <c r="M5" s="16"/>
      <c r="N5" s="16" t="s">
        <v>6</v>
      </c>
      <c r="O5" s="16" t="s">
        <v>30</v>
      </c>
      <c r="P5" s="16" t="s">
        <v>48</v>
      </c>
      <c r="Q5" s="16" t="s">
        <v>7</v>
      </c>
    </row>
    <row r="6" spans="2:17" ht="11.25">
      <c r="B6" s="17" t="s">
        <v>8</v>
      </c>
      <c r="C6" s="17" t="s">
        <v>9</v>
      </c>
      <c r="D6" s="17" t="s">
        <v>10</v>
      </c>
      <c r="E6" s="17" t="s">
        <v>11</v>
      </c>
      <c r="F6" s="17" t="s">
        <v>12</v>
      </c>
      <c r="G6" s="17" t="s">
        <v>13</v>
      </c>
      <c r="H6" s="17" t="s">
        <v>10</v>
      </c>
      <c r="I6" s="17" t="s">
        <v>15</v>
      </c>
      <c r="J6" s="16" t="s">
        <v>26</v>
      </c>
      <c r="K6" s="37" t="s">
        <v>79</v>
      </c>
      <c r="L6" s="37" t="s">
        <v>79</v>
      </c>
      <c r="M6" s="17" t="s">
        <v>14</v>
      </c>
      <c r="N6" s="17" t="s">
        <v>16</v>
      </c>
      <c r="O6" s="17" t="s">
        <v>10</v>
      </c>
      <c r="P6" s="30" t="s">
        <v>8</v>
      </c>
      <c r="Q6" s="30" t="s">
        <v>8</v>
      </c>
    </row>
    <row r="7" spans="1:17" s="19" customFormat="1" ht="11.25">
      <c r="A7" s="5" t="s">
        <v>17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1.25" customHeight="1">
      <c r="A8" s="8" t="s">
        <v>18</v>
      </c>
      <c r="B8" s="15">
        <f aca="true" t="shared" si="0" ref="B8:Q8">SUM(B9:B13)</f>
        <v>4284878.88</v>
      </c>
      <c r="C8" s="15">
        <f t="shared" si="0"/>
        <v>33236487.09</v>
      </c>
      <c r="D8" s="15">
        <f t="shared" si="0"/>
        <v>4565.950000000001</v>
      </c>
      <c r="E8" s="15">
        <f t="shared" si="0"/>
        <v>66786.72</v>
      </c>
      <c r="F8" s="15">
        <f t="shared" si="0"/>
        <v>5415191.640000001</v>
      </c>
      <c r="G8" s="15">
        <f t="shared" si="0"/>
        <v>3218566.36</v>
      </c>
      <c r="H8" s="15">
        <f t="shared" si="0"/>
        <v>305303.58999999997</v>
      </c>
      <c r="I8" s="15">
        <f t="shared" si="0"/>
        <v>2831817.81</v>
      </c>
      <c r="J8" s="15">
        <f t="shared" si="0"/>
        <v>115413.07</v>
      </c>
      <c r="K8" s="15">
        <f t="shared" si="0"/>
        <v>49479011.10999999</v>
      </c>
      <c r="L8" s="15">
        <f t="shared" si="0"/>
        <v>51526196</v>
      </c>
      <c r="M8" s="15">
        <f>SUM(M9:M13)</f>
        <v>126606.7</v>
      </c>
      <c r="N8" s="15">
        <f>SUM(N9:N13)</f>
        <v>1890.01</v>
      </c>
      <c r="O8" s="15">
        <f>SUM(O9:O13)</f>
        <v>4905454.54</v>
      </c>
      <c r="P8" s="15">
        <f t="shared" si="0"/>
        <v>54512962.35999999</v>
      </c>
      <c r="Q8" s="15">
        <f t="shared" si="0"/>
        <v>54311482</v>
      </c>
    </row>
    <row r="9" spans="1:17" s="7" customFormat="1" ht="11.25" customHeight="1" outlineLevel="1">
      <c r="A9" s="7" t="s">
        <v>19</v>
      </c>
      <c r="B9" s="7">
        <v>3238393.92</v>
      </c>
      <c r="C9" s="7">
        <v>31341705.91</v>
      </c>
      <c r="E9" s="7">
        <v>53564.17</v>
      </c>
      <c r="F9" s="7">
        <v>5319714.66</v>
      </c>
      <c r="G9" s="7">
        <v>2289777.03</v>
      </c>
      <c r="H9" s="7">
        <v>4812.72</v>
      </c>
      <c r="I9" s="7">
        <v>2784000.23</v>
      </c>
      <c r="J9" s="7">
        <v>115413.07</v>
      </c>
      <c r="K9" s="7">
        <f>SUM(B9:J9)</f>
        <v>45147381.70999999</v>
      </c>
      <c r="L9" s="7">
        <v>47558795</v>
      </c>
      <c r="O9" s="7">
        <v>4905454.54</v>
      </c>
      <c r="P9" s="7">
        <f>K9+M9+N9+O9</f>
        <v>50052836.24999999</v>
      </c>
      <c r="Q9" s="7">
        <v>50197787</v>
      </c>
    </row>
    <row r="10" spans="1:17" s="7" customFormat="1" ht="11.25" customHeight="1" outlineLevel="1">
      <c r="A10" s="7" t="s">
        <v>20</v>
      </c>
      <c r="C10" s="7">
        <v>671641.29</v>
      </c>
      <c r="G10" s="7">
        <v>68471.91</v>
      </c>
      <c r="K10" s="7">
        <f>SUM(B10:J10)</f>
        <v>740113.2000000001</v>
      </c>
      <c r="L10" s="7">
        <v>822243</v>
      </c>
      <c r="P10" s="7">
        <f>K10+M10+N10+O10</f>
        <v>740113.2000000001</v>
      </c>
      <c r="Q10" s="7">
        <v>822243</v>
      </c>
    </row>
    <row r="11" spans="1:17" ht="11.25" customHeight="1" outlineLevel="1">
      <c r="A11" s="15" t="s">
        <v>31</v>
      </c>
      <c r="K11" s="7">
        <f>SUM(B11:J11)</f>
        <v>0</v>
      </c>
      <c r="L11" s="7">
        <v>0</v>
      </c>
      <c r="P11" s="7">
        <f>K11+M11+N11+O11</f>
        <v>0</v>
      </c>
      <c r="Q11" s="15">
        <v>0</v>
      </c>
    </row>
    <row r="12" spans="1:17" ht="11.25" outlineLevel="1">
      <c r="A12" s="2" t="s">
        <v>78</v>
      </c>
      <c r="B12" s="2">
        <f>802709.69+29797.37+213977.9</f>
        <v>1046484.96</v>
      </c>
      <c r="C12" s="15">
        <f>92130.6+542640.5+198014.44+135857.85-55.55</f>
        <v>968587.84</v>
      </c>
      <c r="D12" s="15">
        <f>3312.28+1253.67</f>
        <v>4565.950000000001</v>
      </c>
      <c r="E12" s="15">
        <f>13222.55</f>
        <v>13222.55</v>
      </c>
      <c r="F12" s="15">
        <f>41847.5+53629.48</f>
        <v>95476.98000000001</v>
      </c>
      <c r="G12" s="15">
        <f>445051.97+33616.54+355698.06</f>
        <v>834366.57</v>
      </c>
      <c r="H12" s="15">
        <f>268530.5+32154.12-193.75</f>
        <v>300490.87</v>
      </c>
      <c r="I12" s="15">
        <f>9608.85+10892.95+27315.78</f>
        <v>47817.58</v>
      </c>
      <c r="K12" s="7">
        <f>SUM(B12:J12)</f>
        <v>3311013.3</v>
      </c>
      <c r="L12" s="7">
        <v>2825305</v>
      </c>
      <c r="M12" s="15">
        <f>126606.7</f>
        <v>126606.7</v>
      </c>
      <c r="N12" s="15">
        <f>1890.01</f>
        <v>1890.01</v>
      </c>
      <c r="O12" s="15">
        <v>0</v>
      </c>
      <c r="P12" s="7">
        <f>K12+M12+N12+O12</f>
        <v>3439510.01</v>
      </c>
      <c r="Q12" s="15">
        <v>2971599</v>
      </c>
    </row>
    <row r="13" spans="1:17" ht="11.25" outlineLevel="1">
      <c r="A13" s="15" t="s">
        <v>37</v>
      </c>
      <c r="C13" s="15">
        <f>254552.05</f>
        <v>254552.05</v>
      </c>
      <c r="G13" s="15">
        <v>25950.85</v>
      </c>
      <c r="K13" s="7">
        <f>SUM(B13:J13)</f>
        <v>280502.89999999997</v>
      </c>
      <c r="L13" s="7">
        <v>319853</v>
      </c>
      <c r="P13" s="7">
        <f>K13+M13+N13+O13</f>
        <v>280502.89999999997</v>
      </c>
      <c r="Q13" s="15">
        <v>319853</v>
      </c>
    </row>
    <row r="15" spans="1:17" ht="11.25">
      <c r="A15" s="14" t="s">
        <v>25</v>
      </c>
      <c r="B15" s="15">
        <f aca="true" t="shared" si="1" ref="B15:L15">SUM(B16:B18)</f>
        <v>172283.23</v>
      </c>
      <c r="C15" s="15">
        <f t="shared" si="1"/>
        <v>963573.9</v>
      </c>
      <c r="D15" s="15">
        <f t="shared" si="1"/>
        <v>0</v>
      </c>
      <c r="E15" s="15">
        <f t="shared" si="1"/>
        <v>0</v>
      </c>
      <c r="F15" s="15">
        <f t="shared" si="1"/>
        <v>147733.29</v>
      </c>
      <c r="G15" s="15">
        <f t="shared" si="1"/>
        <v>129843.73</v>
      </c>
      <c r="H15" s="15">
        <f t="shared" si="1"/>
        <v>457384.33</v>
      </c>
      <c r="I15" s="15">
        <f t="shared" si="1"/>
        <v>27844.97</v>
      </c>
      <c r="J15" s="15">
        <f t="shared" si="1"/>
        <v>0</v>
      </c>
      <c r="K15" s="15">
        <f t="shared" si="1"/>
        <v>1898663.45</v>
      </c>
      <c r="L15" s="15">
        <f t="shared" si="1"/>
        <v>1770866</v>
      </c>
      <c r="M15" s="15">
        <f>SUM(M16:M18)</f>
        <v>0</v>
      </c>
      <c r="N15" s="15">
        <f>SUM(N16:N18)</f>
        <v>0</v>
      </c>
      <c r="O15" s="15">
        <f>SUM(O16:O18)</f>
        <v>0</v>
      </c>
      <c r="P15" s="15">
        <f>SUM(P16:P18)</f>
        <v>1898663.45</v>
      </c>
      <c r="Q15" s="15">
        <f>SUM(Q16:Q18)</f>
        <v>1770866</v>
      </c>
    </row>
    <row r="16" spans="1:17" ht="11.25" outlineLevel="1">
      <c r="A16" s="15" t="s">
        <v>22</v>
      </c>
      <c r="B16" s="15">
        <v>169585.28</v>
      </c>
      <c r="C16" s="15">
        <v>919265.66</v>
      </c>
      <c r="F16" s="15">
        <v>147733.29</v>
      </c>
      <c r="G16" s="15">
        <v>129843.73</v>
      </c>
      <c r="H16" s="15">
        <v>427440.07</v>
      </c>
      <c r="I16" s="15">
        <v>27844.97</v>
      </c>
      <c r="K16" s="7">
        <f>SUM(B16:J16)</f>
        <v>1821713</v>
      </c>
      <c r="L16" s="7">
        <v>1631427</v>
      </c>
      <c r="P16" s="7">
        <f>K16+M16+N16+O16</f>
        <v>1821713</v>
      </c>
      <c r="Q16" s="15">
        <v>1631427</v>
      </c>
    </row>
    <row r="17" spans="1:17" ht="11.25" outlineLevel="1">
      <c r="A17" s="15" t="s">
        <v>46</v>
      </c>
      <c r="K17" s="7">
        <f>SUM(B17:J17)</f>
        <v>0</v>
      </c>
      <c r="L17" s="7">
        <v>0</v>
      </c>
      <c r="P17" s="7">
        <f>K17+M17+N17+O17</f>
        <v>0</v>
      </c>
      <c r="Q17" s="15">
        <v>0</v>
      </c>
    </row>
    <row r="18" spans="1:17" ht="11.25" outlineLevel="1">
      <c r="A18" s="15" t="s">
        <v>38</v>
      </c>
      <c r="B18" s="15">
        <v>2697.95</v>
      </c>
      <c r="C18" s="15">
        <v>44308.24</v>
      </c>
      <c r="H18" s="15">
        <v>29944.26</v>
      </c>
      <c r="K18" s="7">
        <f>SUM(B18:J18)</f>
        <v>76950.45</v>
      </c>
      <c r="L18" s="7">
        <v>139439</v>
      </c>
      <c r="P18" s="7">
        <f>K18+M18+N18+O18</f>
        <v>76950.45</v>
      </c>
      <c r="Q18" s="15">
        <v>139439</v>
      </c>
    </row>
    <row r="20" spans="1:17" ht="11.25">
      <c r="A20" s="14" t="s">
        <v>23</v>
      </c>
      <c r="B20" s="15">
        <f aca="true" t="shared" si="2" ref="B20:Q20">SUM(B21:B23)</f>
        <v>4296301.05</v>
      </c>
      <c r="C20" s="15">
        <f t="shared" si="2"/>
        <v>2640586.38</v>
      </c>
      <c r="D20" s="15">
        <f t="shared" si="2"/>
        <v>8636.97</v>
      </c>
      <c r="E20" s="15">
        <f t="shared" si="2"/>
        <v>48012.149999999994</v>
      </c>
      <c r="F20" s="15">
        <f t="shared" si="2"/>
        <v>159176.51</v>
      </c>
      <c r="G20" s="15">
        <f t="shared" si="2"/>
        <v>1719011.0799999998</v>
      </c>
      <c r="H20" s="15">
        <f t="shared" si="2"/>
        <v>3819779.58</v>
      </c>
      <c r="I20" s="15">
        <f t="shared" si="2"/>
        <v>24562.510000000002</v>
      </c>
      <c r="J20" s="15">
        <f t="shared" si="2"/>
        <v>0</v>
      </c>
      <c r="K20" s="15">
        <f t="shared" si="2"/>
        <v>12716066.23</v>
      </c>
      <c r="L20" s="15">
        <f t="shared" si="2"/>
        <v>11571000</v>
      </c>
      <c r="M20" s="15">
        <f>SUM(M21:M23)</f>
        <v>314628.98</v>
      </c>
      <c r="N20" s="15">
        <f>SUM(N21:N23)</f>
        <v>3470</v>
      </c>
      <c r="O20" s="15">
        <f>SUM(O21:O23)</f>
        <v>0</v>
      </c>
      <c r="P20" s="15">
        <f t="shared" si="2"/>
        <v>13034165.21</v>
      </c>
      <c r="Q20" s="15">
        <f t="shared" si="2"/>
        <v>12216092</v>
      </c>
    </row>
    <row r="21" spans="1:17" ht="11.25" outlineLevel="1">
      <c r="A21" s="15" t="s">
        <v>22</v>
      </c>
      <c r="B21" s="15">
        <v>4118280.17</v>
      </c>
      <c r="C21" s="15">
        <v>2057517.5</v>
      </c>
      <c r="D21" s="15">
        <v>8636.97</v>
      </c>
      <c r="E21" s="15">
        <v>37220.67</v>
      </c>
      <c r="F21" s="15">
        <v>149381.78</v>
      </c>
      <c r="G21" s="15">
        <v>1500245.42</v>
      </c>
      <c r="H21" s="15">
        <v>3021367.39</v>
      </c>
      <c r="I21" s="15">
        <v>22329.59</v>
      </c>
      <c r="K21" s="7">
        <f>SUM(B21:J21)</f>
        <v>10914979.49</v>
      </c>
      <c r="L21" s="7">
        <v>10156103</v>
      </c>
      <c r="M21" s="15">
        <v>225966.8</v>
      </c>
      <c r="N21" s="15">
        <v>3470</v>
      </c>
      <c r="P21" s="7">
        <f>K21+M21+N21+O21</f>
        <v>11144416.290000001</v>
      </c>
      <c r="Q21" s="15">
        <v>10613870</v>
      </c>
    </row>
    <row r="22" spans="1:17" ht="11.25" outlineLevel="1">
      <c r="A22" s="15" t="s">
        <v>46</v>
      </c>
      <c r="K22" s="7">
        <f>SUM(B22:J22)</f>
        <v>0</v>
      </c>
      <c r="L22" s="7">
        <v>0</v>
      </c>
      <c r="P22" s="7">
        <f>K22+M22+N22+O22</f>
        <v>0</v>
      </c>
      <c r="Q22" s="15">
        <v>0</v>
      </c>
    </row>
    <row r="23" spans="1:17" ht="11.25" outlineLevel="1">
      <c r="A23" s="15" t="s">
        <v>38</v>
      </c>
      <c r="B23" s="15">
        <v>178020.88</v>
      </c>
      <c r="C23" s="15">
        <v>583068.88</v>
      </c>
      <c r="E23" s="15">
        <v>10791.48</v>
      </c>
      <c r="F23" s="15">
        <v>9794.73</v>
      </c>
      <c r="G23" s="15">
        <v>218765.66</v>
      </c>
      <c r="H23" s="15">
        <v>798412.19</v>
      </c>
      <c r="I23" s="15">
        <v>2232.92</v>
      </c>
      <c r="K23" s="7">
        <f>SUM(B23:J23)</f>
        <v>1801086.7399999998</v>
      </c>
      <c r="L23" s="7">
        <v>1414897</v>
      </c>
      <c r="M23" s="15">
        <v>88662.18</v>
      </c>
      <c r="P23" s="7">
        <f>K23+M23+N23+O23</f>
        <v>1889748.9199999997</v>
      </c>
      <c r="Q23" s="15">
        <v>1602222</v>
      </c>
    </row>
    <row r="25" spans="1:17" ht="11.25">
      <c r="A25" s="14" t="s">
        <v>24</v>
      </c>
      <c r="B25" s="15">
        <f aca="true" t="shared" si="3" ref="B25:L25">SUM(B26:B28)</f>
        <v>1368478.45</v>
      </c>
      <c r="C25" s="15">
        <f t="shared" si="3"/>
        <v>1109162.51</v>
      </c>
      <c r="D25" s="15">
        <f t="shared" si="3"/>
        <v>3269.01</v>
      </c>
      <c r="E25" s="15">
        <f t="shared" si="3"/>
        <v>0</v>
      </c>
      <c r="F25" s="15">
        <f t="shared" si="3"/>
        <v>56258.63</v>
      </c>
      <c r="G25" s="15">
        <f t="shared" si="3"/>
        <v>1373882.05</v>
      </c>
      <c r="H25" s="15">
        <f t="shared" si="3"/>
        <v>-2756.1099999999997</v>
      </c>
      <c r="I25" s="15">
        <f t="shared" si="3"/>
        <v>69825.62</v>
      </c>
      <c r="J25" s="15">
        <f t="shared" si="3"/>
        <v>0</v>
      </c>
      <c r="K25" s="15">
        <f t="shared" si="3"/>
        <v>3978120.16</v>
      </c>
      <c r="L25" s="15">
        <f t="shared" si="3"/>
        <v>4047557</v>
      </c>
      <c r="M25" s="15">
        <f>SUM(M26:M28)</f>
        <v>0</v>
      </c>
      <c r="N25" s="15">
        <f>SUM(N26:N28)</f>
        <v>500</v>
      </c>
      <c r="O25" s="15">
        <f>SUM(O26:O28)</f>
        <v>0</v>
      </c>
      <c r="P25" s="15">
        <f>SUM(P26:P28)</f>
        <v>3978620.16</v>
      </c>
      <c r="Q25" s="15">
        <f>SUM(Q26:Q28)</f>
        <v>4047557</v>
      </c>
    </row>
    <row r="26" spans="1:17" ht="11.25" outlineLevel="1">
      <c r="A26" s="15" t="s">
        <v>22</v>
      </c>
      <c r="B26" s="15">
        <v>1250258.81</v>
      </c>
      <c r="C26" s="15">
        <f>448324.07+661108.74-270.3</f>
        <v>1109162.51</v>
      </c>
      <c r="D26" s="15">
        <v>3491.51</v>
      </c>
      <c r="G26" s="15">
        <v>1270826.5</v>
      </c>
      <c r="H26" s="15">
        <v>-1780.33</v>
      </c>
      <c r="I26" s="15">
        <v>69825.62</v>
      </c>
      <c r="K26" s="7">
        <f>SUM(B26:J26)</f>
        <v>3701784.62</v>
      </c>
      <c r="L26" s="7">
        <v>3825581</v>
      </c>
      <c r="N26" s="15">
        <v>500</v>
      </c>
      <c r="P26" s="7">
        <f>K26+M26+N26+O26</f>
        <v>3702284.62</v>
      </c>
      <c r="Q26" s="15">
        <v>3825581</v>
      </c>
    </row>
    <row r="27" spans="1:17" ht="11.25" outlineLevel="1">
      <c r="A27" s="15" t="s">
        <v>46</v>
      </c>
      <c r="K27" s="7">
        <f>SUM(B27:J27)</f>
        <v>0</v>
      </c>
      <c r="L27" s="7">
        <v>0</v>
      </c>
      <c r="P27" s="7">
        <f>K27+M27+N27+O27</f>
        <v>0</v>
      </c>
      <c r="Q27" s="15">
        <v>0</v>
      </c>
    </row>
    <row r="28" spans="1:17" ht="11.25" outlineLevel="1">
      <c r="A28" s="15" t="s">
        <v>38</v>
      </c>
      <c r="B28" s="15">
        <v>118219.64</v>
      </c>
      <c r="D28" s="15">
        <v>-222.5</v>
      </c>
      <c r="F28" s="15">
        <v>56258.63</v>
      </c>
      <c r="G28" s="15">
        <v>103055.55</v>
      </c>
      <c r="H28" s="15">
        <v>-975.78</v>
      </c>
      <c r="K28" s="7">
        <f>SUM(B28:J28)</f>
        <v>276335.54</v>
      </c>
      <c r="L28" s="7">
        <v>221976</v>
      </c>
      <c r="P28" s="7">
        <f>K28+M28+N28+O28</f>
        <v>276335.54</v>
      </c>
      <c r="Q28" s="15">
        <v>221976</v>
      </c>
    </row>
    <row r="30" spans="1:17" ht="11.25">
      <c r="A30" s="14" t="s">
        <v>27</v>
      </c>
      <c r="C30" s="15">
        <v>9278891.37</v>
      </c>
      <c r="K30" s="7">
        <f>SUM(B30:J30)</f>
        <v>9278891.37</v>
      </c>
      <c r="L30" s="7">
        <v>5648739</v>
      </c>
      <c r="P30" s="7">
        <f>K30+M30+N30+O30</f>
        <v>9278891.37</v>
      </c>
      <c r="Q30" s="15">
        <v>5648739</v>
      </c>
    </row>
    <row r="31" spans="1:16" ht="11.25">
      <c r="A31" s="14"/>
      <c r="P31" s="7"/>
    </row>
    <row r="32" spans="1:17" s="41" customFormat="1" ht="11.25">
      <c r="A32" s="38" t="s">
        <v>72</v>
      </c>
      <c r="B32" s="41">
        <f aca="true" t="shared" si="4" ref="B32:L32">((B18+B23+B28)/(B16+B17+B21+B22+B26+B27))</f>
        <v>0.05397828867061211</v>
      </c>
      <c r="C32" s="41">
        <f t="shared" si="4"/>
        <v>0.153545144911337</v>
      </c>
      <c r="D32" s="41">
        <f t="shared" si="4"/>
        <v>-0.018345250187987282</v>
      </c>
      <c r="E32" s="41">
        <f t="shared" si="4"/>
        <v>0.28993244882480623</v>
      </c>
      <c r="F32" s="41">
        <f t="shared" si="4"/>
        <v>0.22231575126768224</v>
      </c>
      <c r="G32" s="41">
        <f t="shared" si="4"/>
        <v>0.11093780337942609</v>
      </c>
      <c r="H32" s="41">
        <f t="shared" si="4"/>
        <v>0.2400273159439856</v>
      </c>
      <c r="I32" s="41">
        <f t="shared" si="4"/>
        <v>0.018607638755208534</v>
      </c>
      <c r="J32" s="41">
        <v>0</v>
      </c>
      <c r="K32" s="41">
        <f t="shared" si="4"/>
        <v>0.13105671015531192</v>
      </c>
      <c r="L32" s="41">
        <f t="shared" si="4"/>
        <v>0.11377053554541436</v>
      </c>
      <c r="M32" s="41">
        <f>((M18+M23+M28)/(M16+M17+M21+M22+M26+M27))</f>
        <v>0.39236817089944187</v>
      </c>
      <c r="N32" s="41">
        <f>((N18+N23+N28)/(N16+N17+N21+N22+N26+N27))</f>
        <v>0</v>
      </c>
      <c r="O32" s="41">
        <v>0</v>
      </c>
      <c r="P32" s="41">
        <f>((P18+P23+P28)/(P16+P17+P21+P22+P26+P27))</f>
        <v>0.13456798721888708</v>
      </c>
      <c r="Q32" s="41">
        <f>((Q18+Q23+Q28)/(Q16+Q17+Q21+Q22+Q26+Q27))</f>
        <v>0.12218604360010697</v>
      </c>
    </row>
    <row r="33" spans="2:17" ht="11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2" thickBot="1">
      <c r="A34" s="8" t="s">
        <v>7</v>
      </c>
      <c r="B34" s="21">
        <f aca="true" t="shared" si="5" ref="B34:O34">+B30+B25+B20+B15+B8</f>
        <v>10121941.61</v>
      </c>
      <c r="C34" s="21">
        <f t="shared" si="5"/>
        <v>47228701.25</v>
      </c>
      <c r="D34" s="21">
        <f t="shared" si="5"/>
        <v>16471.93</v>
      </c>
      <c r="E34" s="21">
        <f t="shared" si="5"/>
        <v>114798.87</v>
      </c>
      <c r="F34" s="21">
        <f t="shared" si="5"/>
        <v>5778360.07</v>
      </c>
      <c r="G34" s="21">
        <f t="shared" si="5"/>
        <v>6441303.22</v>
      </c>
      <c r="H34" s="21">
        <f t="shared" si="5"/>
        <v>4579711.39</v>
      </c>
      <c r="I34" s="21">
        <f t="shared" si="5"/>
        <v>2954050.91</v>
      </c>
      <c r="J34" s="21">
        <f t="shared" si="5"/>
        <v>115413.07</v>
      </c>
      <c r="K34" s="21">
        <f t="shared" si="5"/>
        <v>77350752.32</v>
      </c>
      <c r="L34" s="21">
        <f t="shared" si="5"/>
        <v>74564358</v>
      </c>
      <c r="M34" s="21">
        <f t="shared" si="5"/>
        <v>441235.68</v>
      </c>
      <c r="N34" s="21">
        <f t="shared" si="5"/>
        <v>5860.01</v>
      </c>
      <c r="O34" s="21">
        <f t="shared" si="5"/>
        <v>4905454.54</v>
      </c>
      <c r="P34" s="21">
        <f>+P30+P25+P20+P15+P8</f>
        <v>82703302.55</v>
      </c>
      <c r="Q34" s="21">
        <f>+Q30+Q25+Q20+Q15+Q8</f>
        <v>77994736</v>
      </c>
    </row>
    <row r="35" ht="12" thickTop="1"/>
    <row r="37" spans="2:15" ht="11.25" hidden="1">
      <c r="B37" s="26">
        <f aca="true" t="shared" si="6" ref="B37:J37">B16+B17+B21+B22+B26+B27</f>
        <v>5538124.26</v>
      </c>
      <c r="C37" s="26">
        <f t="shared" si="6"/>
        <v>4085945.67</v>
      </c>
      <c r="D37" s="26">
        <f t="shared" si="6"/>
        <v>12128.48</v>
      </c>
      <c r="E37" s="26">
        <f t="shared" si="6"/>
        <v>37220.67</v>
      </c>
      <c r="F37" s="26">
        <f t="shared" si="6"/>
        <v>297115.07</v>
      </c>
      <c r="G37" s="26">
        <f t="shared" si="6"/>
        <v>2900915.65</v>
      </c>
      <c r="H37" s="26">
        <f t="shared" si="6"/>
        <v>3447027.13</v>
      </c>
      <c r="I37" s="26">
        <f t="shared" si="6"/>
        <v>120000.18</v>
      </c>
      <c r="J37" s="26">
        <f t="shared" si="6"/>
        <v>0</v>
      </c>
      <c r="K37" s="26"/>
      <c r="M37" s="26">
        <f>M16+M17+M21+M22+M26+M27</f>
        <v>225966.8</v>
      </c>
      <c r="N37" s="26">
        <f>N16+N17+N21+N22+N26+N27</f>
        <v>3970</v>
      </c>
      <c r="O37" s="26">
        <f>O16+O17+O21+O22+O26+O27</f>
        <v>0</v>
      </c>
    </row>
    <row r="38" spans="1:9" ht="11.25">
      <c r="A38" s="8"/>
      <c r="I38" s="8"/>
    </row>
    <row r="40" spans="2:13" ht="11.25">
      <c r="B40" s="22"/>
      <c r="C40" s="22"/>
      <c r="D40" s="22"/>
      <c r="E40" s="22"/>
      <c r="F40" s="22"/>
      <c r="G40" s="22"/>
      <c r="H40" s="22"/>
      <c r="M40" s="22"/>
    </row>
    <row r="41" spans="2:13" ht="11.25">
      <c r="B41" s="22"/>
      <c r="C41" s="22"/>
      <c r="D41" s="22"/>
      <c r="E41" s="22"/>
      <c r="F41" s="22"/>
      <c r="G41" s="22"/>
      <c r="H41" s="22"/>
      <c r="M41" s="22"/>
    </row>
    <row r="42" spans="2:13" ht="11.25">
      <c r="B42" s="22"/>
      <c r="C42" s="22"/>
      <c r="D42" s="22"/>
      <c r="E42" s="22"/>
      <c r="F42" s="22"/>
      <c r="G42" s="22"/>
      <c r="H42" s="22"/>
      <c r="M42" s="22"/>
    </row>
    <row r="43" spans="2:17" ht="11.2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9:17" ht="11.25" hidden="1">
      <c r="I44" s="22"/>
      <c r="J44" s="22"/>
      <c r="K44" s="22"/>
      <c r="L44" s="22"/>
      <c r="N44" s="22"/>
      <c r="O44" s="22"/>
      <c r="P44" s="22"/>
      <c r="Q44" s="22"/>
    </row>
    <row r="45" spans="9:17" ht="11.25" hidden="1">
      <c r="I45" s="22"/>
      <c r="J45" s="22"/>
      <c r="K45" s="22"/>
      <c r="L45" s="22"/>
      <c r="N45" s="22"/>
      <c r="O45" s="22"/>
      <c r="P45" s="22"/>
      <c r="Q45" s="22"/>
    </row>
    <row r="46" spans="9:17" ht="11.25" hidden="1">
      <c r="I46" s="22"/>
      <c r="N46" s="8" t="s">
        <v>49</v>
      </c>
      <c r="P46" s="27" t="s">
        <v>50</v>
      </c>
      <c r="Q46" s="27" t="s">
        <v>51</v>
      </c>
    </row>
    <row r="47" spans="9:17" ht="11.25" hidden="1">
      <c r="I47" s="22"/>
      <c r="J47" s="2"/>
      <c r="K47" s="2"/>
      <c r="L47" s="2"/>
      <c r="N47" s="8"/>
      <c r="O47" s="2"/>
      <c r="P47" s="27" t="s">
        <v>52</v>
      </c>
      <c r="Q47" s="27" t="s">
        <v>53</v>
      </c>
    </row>
    <row r="48" spans="9:15" ht="11.25" hidden="1">
      <c r="I48" s="22"/>
      <c r="J48" s="2"/>
      <c r="K48" s="2"/>
      <c r="L48" s="2"/>
      <c r="N48" s="2"/>
      <c r="O48" s="2"/>
    </row>
    <row r="49" spans="9:17" ht="11.25" hidden="1">
      <c r="I49" s="22"/>
      <c r="J49" s="12"/>
      <c r="K49" s="12"/>
      <c r="L49" s="12"/>
      <c r="N49" s="2" t="s">
        <v>69</v>
      </c>
      <c r="O49" s="12"/>
      <c r="P49" s="19">
        <f>P9+P10+P11+P30-P58</f>
        <v>60071840.81999999</v>
      </c>
      <c r="Q49" s="15">
        <v>60822383.36</v>
      </c>
    </row>
    <row r="50" spans="9:17" ht="11.25" hidden="1">
      <c r="I50" s="22"/>
      <c r="J50" s="12"/>
      <c r="K50" s="12"/>
      <c r="L50" s="12"/>
      <c r="N50" s="2" t="s">
        <v>70</v>
      </c>
      <c r="O50" s="12"/>
      <c r="P50" s="35">
        <f>P16+P17+P21+P22+P26+P27</f>
        <v>16668413.91</v>
      </c>
      <c r="Q50" s="20">
        <v>15975643.58</v>
      </c>
    </row>
    <row r="51" spans="9:17" ht="11.25" hidden="1">
      <c r="I51" s="22"/>
      <c r="J51" s="12"/>
      <c r="K51" s="12"/>
      <c r="L51" s="12"/>
      <c r="N51" s="2"/>
      <c r="O51" s="12"/>
      <c r="P51" s="29"/>
      <c r="Q51" s="22"/>
    </row>
    <row r="52" spans="9:17" ht="12" hidden="1" thickBot="1">
      <c r="I52" s="22"/>
      <c r="J52" s="12"/>
      <c r="K52" s="12"/>
      <c r="L52" s="12"/>
      <c r="N52" s="2" t="s">
        <v>65</v>
      </c>
      <c r="O52" s="12"/>
      <c r="P52" s="36">
        <f>P49+P50</f>
        <v>76740254.72999999</v>
      </c>
      <c r="Q52" s="21">
        <f>Q49+Q50</f>
        <v>76798026.94</v>
      </c>
    </row>
    <row r="53" spans="9:17" ht="12" hidden="1" thickTop="1">
      <c r="I53" s="22"/>
      <c r="J53" s="12"/>
      <c r="K53" s="12"/>
      <c r="L53" s="12"/>
      <c r="N53" s="2"/>
      <c r="O53" s="12"/>
      <c r="P53" s="29"/>
      <c r="Q53" s="22"/>
    </row>
    <row r="54" spans="9:17" ht="11.25" hidden="1">
      <c r="I54" s="22"/>
      <c r="J54" s="2"/>
      <c r="K54" s="2"/>
      <c r="L54" s="2"/>
      <c r="N54" s="15" t="s">
        <v>35</v>
      </c>
      <c r="O54" s="2"/>
      <c r="P54" s="19">
        <f>SUM(P12)</f>
        <v>3439510.01</v>
      </c>
      <c r="Q54" s="15">
        <f>SUM(P12)</f>
        <v>3439510.01</v>
      </c>
    </row>
    <row r="55" spans="9:17" ht="11.25" hidden="1">
      <c r="I55" s="22"/>
      <c r="J55" s="2"/>
      <c r="K55" s="2"/>
      <c r="L55" s="2"/>
      <c r="N55" s="15" t="s">
        <v>36</v>
      </c>
      <c r="O55" s="2"/>
      <c r="P55" s="29"/>
      <c r="Q55" s="22"/>
    </row>
    <row r="56" spans="9:17" ht="11.25" hidden="1">
      <c r="I56" s="22"/>
      <c r="J56" s="2"/>
      <c r="K56" s="2"/>
      <c r="L56" s="2"/>
      <c r="N56" s="15" t="s">
        <v>38</v>
      </c>
      <c r="O56" s="2"/>
      <c r="P56" s="29">
        <f>P28+P18+P23</f>
        <v>2243034.9099999997</v>
      </c>
      <c r="Q56" s="22">
        <f>P28+P18+P23</f>
        <v>2243034.9099999997</v>
      </c>
    </row>
    <row r="57" spans="9:17" ht="11.25" hidden="1">
      <c r="I57" s="22"/>
      <c r="J57" s="12"/>
      <c r="K57" s="12"/>
      <c r="L57" s="12"/>
      <c r="N57" s="15" t="s">
        <v>37</v>
      </c>
      <c r="O57" s="12"/>
      <c r="P57" s="29">
        <f>SUM(P13)</f>
        <v>280502.89999999997</v>
      </c>
      <c r="Q57" s="29">
        <f>SUM(P13)</f>
        <v>280502.89999999997</v>
      </c>
    </row>
    <row r="58" spans="9:17" ht="11.25" hidden="1">
      <c r="I58" s="22"/>
      <c r="J58" s="12"/>
      <c r="K58" s="12"/>
      <c r="L58" s="12"/>
      <c r="N58" s="2" t="s">
        <v>75</v>
      </c>
      <c r="O58" s="12"/>
      <c r="P58" s="29">
        <v>0</v>
      </c>
      <c r="Q58" s="29">
        <v>0</v>
      </c>
    </row>
    <row r="59" spans="9:17" ht="11.25" hidden="1">
      <c r="I59" s="22"/>
      <c r="J59" s="12"/>
      <c r="K59" s="12"/>
      <c r="L59" s="12"/>
      <c r="N59" s="2" t="s">
        <v>59</v>
      </c>
      <c r="O59" s="12"/>
      <c r="P59" s="29">
        <v>0</v>
      </c>
      <c r="Q59" s="29">
        <v>0</v>
      </c>
    </row>
    <row r="60" spans="9:17" ht="11.25" hidden="1">
      <c r="I60" s="22"/>
      <c r="J60" s="12"/>
      <c r="K60" s="12"/>
      <c r="L60" s="12"/>
      <c r="N60" s="2" t="s">
        <v>75</v>
      </c>
      <c r="O60" s="12"/>
      <c r="P60" s="29">
        <v>0</v>
      </c>
      <c r="Q60" s="29">
        <v>0</v>
      </c>
    </row>
    <row r="61" spans="9:17" ht="11.25" hidden="1">
      <c r="I61" s="22"/>
      <c r="J61" s="12"/>
      <c r="K61" s="12"/>
      <c r="L61" s="12"/>
      <c r="N61" s="2" t="s">
        <v>60</v>
      </c>
      <c r="O61" s="12"/>
      <c r="P61" s="20">
        <v>0</v>
      </c>
      <c r="Q61" s="20">
        <v>0</v>
      </c>
    </row>
    <row r="62" spans="9:15" ht="11.25" hidden="1">
      <c r="I62" s="22"/>
      <c r="J62" s="12"/>
      <c r="K62" s="12"/>
      <c r="L62" s="12"/>
      <c r="N62" s="2"/>
      <c r="O62" s="12"/>
    </row>
    <row r="63" spans="9:17" ht="12" hidden="1" thickBot="1">
      <c r="I63" s="22"/>
      <c r="J63" s="12"/>
      <c r="K63" s="12"/>
      <c r="L63" s="12"/>
      <c r="N63" s="2" t="s">
        <v>7</v>
      </c>
      <c r="O63" s="12"/>
      <c r="P63" s="21">
        <f>SUM(P52:P61)</f>
        <v>82703302.55</v>
      </c>
      <c r="Q63" s="21">
        <f>SUM(Q52:Q61)</f>
        <v>82761074.76</v>
      </c>
    </row>
    <row r="64" spans="9:17" ht="12" hidden="1" thickTop="1">
      <c r="I64" s="22"/>
      <c r="P64" s="15">
        <f>+P34-P63</f>
        <v>0</v>
      </c>
      <c r="Q64" s="15">
        <f>P63-Q63</f>
        <v>-57772.210000008345</v>
      </c>
    </row>
    <row r="65" spans="10:17" ht="11.25" hidden="1">
      <c r="J65" s="22"/>
      <c r="K65" s="22"/>
      <c r="L65" s="22"/>
      <c r="N65" s="22"/>
      <c r="O65" s="22"/>
      <c r="P65" s="22"/>
      <c r="Q65" s="22"/>
    </row>
    <row r="66" ht="11.25" hidden="1"/>
    <row r="67" ht="11.25" hidden="1"/>
  </sheetData>
  <sheetProtection/>
  <printOptions horizontalCentered="1" verticalCentered="1"/>
  <pageMargins left="0" right="0" top="0.5" bottom="0.5" header="0.25" footer="0.25"/>
  <pageSetup fitToHeight="1" fitToWidth="1" horizontalDpi="300" verticalDpi="300" orientation="landscape" scale="79" r:id="rId1"/>
  <headerFooter alignWithMargins="0">
    <oddHeader>&amp;L11/04/15
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Q29" sqref="Q29"/>
    </sheetView>
  </sheetViews>
  <sheetFormatPr defaultColWidth="9.140625" defaultRowHeight="12.75"/>
  <cols>
    <col min="1" max="1" width="14.7109375" style="0" customWidth="1"/>
    <col min="3" max="3" width="9.8515625" style="0" bestFit="1" customWidth="1"/>
    <col min="15" max="15" width="9.57421875" style="0" bestFit="1" customWidth="1"/>
  </cols>
  <sheetData>
    <row r="1" spans="1:16" ht="12.75">
      <c r="A1" s="45" t="s">
        <v>81</v>
      </c>
      <c r="B1" s="46"/>
      <c r="C1" s="46"/>
      <c r="D1" s="46"/>
      <c r="E1" s="46"/>
      <c r="F1" s="46"/>
      <c r="G1" s="46"/>
      <c r="H1" s="47"/>
      <c r="I1" s="46"/>
      <c r="J1" s="46"/>
      <c r="K1" s="46"/>
      <c r="L1" s="46"/>
      <c r="M1" s="46"/>
      <c r="N1" s="48" t="s">
        <v>83</v>
      </c>
      <c r="O1" s="49"/>
      <c r="P1" s="46"/>
    </row>
    <row r="2" spans="1:16" ht="12.75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9"/>
      <c r="P2" s="46"/>
    </row>
    <row r="3" spans="1:16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50"/>
      <c r="M3" s="46"/>
      <c r="N3" s="46"/>
      <c r="O3" s="49"/>
      <c r="P3" s="46"/>
    </row>
    <row r="4" spans="1:16" ht="12.75">
      <c r="A4" s="45" t="s">
        <v>84</v>
      </c>
      <c r="B4" s="51"/>
      <c r="C4" s="51"/>
      <c r="D4" s="51"/>
      <c r="E4" s="51"/>
      <c r="F4" s="51"/>
      <c r="G4" s="51"/>
      <c r="H4" s="51" t="s">
        <v>1</v>
      </c>
      <c r="I4" s="51"/>
      <c r="J4" s="51"/>
      <c r="K4" s="51"/>
      <c r="L4" s="52" t="s">
        <v>29</v>
      </c>
      <c r="M4" s="51"/>
      <c r="N4" s="51" t="s">
        <v>101</v>
      </c>
      <c r="O4" s="49"/>
      <c r="P4" s="46"/>
    </row>
    <row r="5" spans="1:16" ht="12.75">
      <c r="A5" s="46"/>
      <c r="B5" s="51" t="s">
        <v>2</v>
      </c>
      <c r="C5" s="51"/>
      <c r="D5" s="51" t="s">
        <v>3</v>
      </c>
      <c r="E5" s="51"/>
      <c r="F5" s="51"/>
      <c r="G5" s="51"/>
      <c r="H5" s="51" t="s">
        <v>4</v>
      </c>
      <c r="I5" s="51"/>
      <c r="J5" s="51" t="s">
        <v>5</v>
      </c>
      <c r="K5" s="51" t="s">
        <v>6</v>
      </c>
      <c r="L5" s="52" t="s">
        <v>30</v>
      </c>
      <c r="M5" s="51"/>
      <c r="N5" s="51" t="s">
        <v>7</v>
      </c>
      <c r="O5" s="49"/>
      <c r="P5" s="46"/>
    </row>
    <row r="6" spans="1:16" ht="12.75">
      <c r="A6" s="46"/>
      <c r="B6" s="53" t="s">
        <v>8</v>
      </c>
      <c r="C6" s="53" t="s">
        <v>9</v>
      </c>
      <c r="D6" s="53" t="s">
        <v>10</v>
      </c>
      <c r="E6" s="53" t="s">
        <v>11</v>
      </c>
      <c r="F6" s="53" t="s">
        <v>12</v>
      </c>
      <c r="G6" s="53" t="s">
        <v>13</v>
      </c>
      <c r="H6" s="53" t="s">
        <v>10</v>
      </c>
      <c r="I6" s="53" t="s">
        <v>14</v>
      </c>
      <c r="J6" s="53" t="s">
        <v>15</v>
      </c>
      <c r="K6" s="53" t="s">
        <v>16</v>
      </c>
      <c r="L6" s="54" t="s">
        <v>10</v>
      </c>
      <c r="M6" s="53" t="s">
        <v>26</v>
      </c>
      <c r="N6" s="53" t="s">
        <v>8</v>
      </c>
      <c r="O6" s="49"/>
      <c r="P6" s="46"/>
    </row>
    <row r="7" spans="1:16" ht="12.75">
      <c r="A7" s="55" t="s">
        <v>86</v>
      </c>
      <c r="B7" s="55">
        <f aca="true" t="shared" si="0" ref="B7:M9">B20+B33+B46</f>
        <v>19624665.78</v>
      </c>
      <c r="C7" s="55">
        <f t="shared" si="0"/>
        <v>3496889.7</v>
      </c>
      <c r="D7" s="55">
        <f t="shared" si="0"/>
        <v>117393</v>
      </c>
      <c r="E7" s="55">
        <f t="shared" si="0"/>
        <v>12927583.629999999</v>
      </c>
      <c r="F7" s="55">
        <f t="shared" si="0"/>
        <v>0</v>
      </c>
      <c r="G7" s="55">
        <f t="shared" si="0"/>
        <v>178824.63</v>
      </c>
      <c r="H7" s="55">
        <f t="shared" si="0"/>
        <v>5139009.77</v>
      </c>
      <c r="I7" s="55">
        <f t="shared" si="0"/>
        <v>633947.85</v>
      </c>
      <c r="J7" s="55">
        <f t="shared" si="0"/>
        <v>659131.5399999999</v>
      </c>
      <c r="K7" s="55">
        <f t="shared" si="0"/>
        <v>4681945.81</v>
      </c>
      <c r="L7" s="55">
        <f t="shared" si="0"/>
        <v>20417465.52</v>
      </c>
      <c r="M7" s="55">
        <f t="shared" si="0"/>
        <v>684674.76</v>
      </c>
      <c r="N7" s="46">
        <f>SUM(B7:M7)</f>
        <v>68561531.99000001</v>
      </c>
      <c r="O7" s="56"/>
      <c r="P7" s="55"/>
    </row>
    <row r="8" spans="1:16" ht="12.75">
      <c r="A8" s="55" t="s">
        <v>87</v>
      </c>
      <c r="B8" s="55">
        <f t="shared" si="0"/>
        <v>0</v>
      </c>
      <c r="C8" s="55">
        <f t="shared" si="0"/>
        <v>0</v>
      </c>
      <c r="D8" s="55">
        <f t="shared" si="0"/>
        <v>0</v>
      </c>
      <c r="E8" s="55">
        <f t="shared" si="0"/>
        <v>8806.54</v>
      </c>
      <c r="F8" s="55">
        <f t="shared" si="0"/>
        <v>0</v>
      </c>
      <c r="G8" s="55">
        <f t="shared" si="0"/>
        <v>0</v>
      </c>
      <c r="H8" s="55">
        <f t="shared" si="0"/>
        <v>1024.74</v>
      </c>
      <c r="I8" s="55">
        <f t="shared" si="0"/>
        <v>1177.75</v>
      </c>
      <c r="J8" s="55">
        <f t="shared" si="0"/>
        <v>616360.01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46">
        <f>SUM(B8:M8)</f>
        <v>627369.04</v>
      </c>
      <c r="O8" s="56"/>
      <c r="P8" s="55"/>
    </row>
    <row r="9" spans="1:16" ht="12.75">
      <c r="A9" s="55" t="s">
        <v>88</v>
      </c>
      <c r="B9" s="55">
        <f t="shared" si="0"/>
        <v>0</v>
      </c>
      <c r="C9" s="55">
        <f t="shared" si="0"/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0</v>
      </c>
      <c r="I9" s="55">
        <f t="shared" si="0"/>
        <v>26944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0</v>
      </c>
      <c r="N9" s="46">
        <f>SUM(B9:M9)</f>
        <v>26944</v>
      </c>
      <c r="O9" s="56"/>
      <c r="P9" s="55"/>
    </row>
    <row r="10" spans="1:16" ht="13.5" thickBot="1">
      <c r="A10" s="45" t="s">
        <v>7</v>
      </c>
      <c r="B10" s="57">
        <f aca="true" t="shared" si="1" ref="B10:M10">SUM(B7:B9)</f>
        <v>19624665.78</v>
      </c>
      <c r="C10" s="57">
        <f t="shared" si="1"/>
        <v>3496889.7</v>
      </c>
      <c r="D10" s="57">
        <f t="shared" si="1"/>
        <v>117393</v>
      </c>
      <c r="E10" s="57">
        <f t="shared" si="1"/>
        <v>12936390.169999998</v>
      </c>
      <c r="F10" s="57">
        <f t="shared" si="1"/>
        <v>0</v>
      </c>
      <c r="G10" s="57">
        <f t="shared" si="1"/>
        <v>178824.63</v>
      </c>
      <c r="H10" s="57">
        <f t="shared" si="1"/>
        <v>5140034.51</v>
      </c>
      <c r="I10" s="57">
        <f t="shared" si="1"/>
        <v>662069.6</v>
      </c>
      <c r="J10" s="57">
        <f t="shared" si="1"/>
        <v>1275491.5499999998</v>
      </c>
      <c r="K10" s="57">
        <f t="shared" si="1"/>
        <v>4681945.81</v>
      </c>
      <c r="L10" s="57">
        <f t="shared" si="1"/>
        <v>20417465.52</v>
      </c>
      <c r="M10" s="57">
        <f t="shared" si="1"/>
        <v>684674.76</v>
      </c>
      <c r="N10" s="57">
        <f>SUM(B10:M10)</f>
        <v>69215845.03</v>
      </c>
      <c r="O10" s="49"/>
      <c r="P10" s="46"/>
    </row>
    <row r="11" spans="1:16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9"/>
      <c r="P11" s="46"/>
    </row>
    <row r="12" spans="1:16" ht="12.7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9"/>
      <c r="P12" s="46"/>
    </row>
    <row r="13" spans="1:16" ht="12.7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9"/>
      <c r="P13" s="46"/>
    </row>
    <row r="14" spans="1:16" ht="12.75">
      <c r="A14" s="45" t="s">
        <v>81</v>
      </c>
      <c r="B14" s="46"/>
      <c r="C14" s="46"/>
      <c r="D14" s="46"/>
      <c r="E14" s="46"/>
      <c r="F14" s="46"/>
      <c r="G14" s="46"/>
      <c r="H14" s="47"/>
      <c r="I14" s="46"/>
      <c r="J14" s="46"/>
      <c r="K14" s="46"/>
      <c r="L14" s="46"/>
      <c r="M14" s="46"/>
      <c r="N14" s="48" t="s">
        <v>89</v>
      </c>
      <c r="O14" s="49"/>
      <c r="P14" s="46"/>
    </row>
    <row r="15" spans="1:16" ht="12.75">
      <c r="A15" s="45" t="s">
        <v>90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9"/>
      <c r="P15" s="46"/>
    </row>
    <row r="16" spans="1:16" ht="12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50"/>
      <c r="M16" s="46"/>
      <c r="N16" s="46"/>
      <c r="O16" s="49"/>
      <c r="P16" s="46"/>
    </row>
    <row r="17" spans="1:16" ht="12.75">
      <c r="A17" s="45" t="s">
        <v>91</v>
      </c>
      <c r="B17" s="51"/>
      <c r="C17" s="51"/>
      <c r="D17" s="51"/>
      <c r="E17" s="51"/>
      <c r="F17" s="51"/>
      <c r="G17" s="51"/>
      <c r="H17" s="51" t="s">
        <v>1</v>
      </c>
      <c r="I17" s="51"/>
      <c r="J17" s="51"/>
      <c r="K17" s="51"/>
      <c r="L17" s="52" t="s">
        <v>29</v>
      </c>
      <c r="M17" s="51"/>
      <c r="N17" s="51" t="s">
        <v>101</v>
      </c>
      <c r="O17" s="49"/>
      <c r="P17" s="46"/>
    </row>
    <row r="18" spans="1:16" ht="12.75">
      <c r="A18" s="46"/>
      <c r="B18" s="51" t="s">
        <v>2</v>
      </c>
      <c r="C18" s="51"/>
      <c r="D18" s="51" t="s">
        <v>3</v>
      </c>
      <c r="E18" s="51"/>
      <c r="F18" s="51"/>
      <c r="G18" s="51"/>
      <c r="H18" s="51" t="s">
        <v>4</v>
      </c>
      <c r="I18" s="51"/>
      <c r="J18" s="51" t="s">
        <v>5</v>
      </c>
      <c r="K18" s="51" t="s">
        <v>6</v>
      </c>
      <c r="L18" s="52" t="s">
        <v>30</v>
      </c>
      <c r="M18" s="51"/>
      <c r="N18" s="51" t="s">
        <v>7</v>
      </c>
      <c r="O18" s="49"/>
      <c r="P18" s="46"/>
    </row>
    <row r="19" spans="1:16" ht="12.75">
      <c r="A19" s="46"/>
      <c r="B19" s="53" t="s">
        <v>8</v>
      </c>
      <c r="C19" s="53" t="s">
        <v>9</v>
      </c>
      <c r="D19" s="53" t="s">
        <v>10</v>
      </c>
      <c r="E19" s="53" t="s">
        <v>11</v>
      </c>
      <c r="F19" s="53" t="s">
        <v>12</v>
      </c>
      <c r="G19" s="53" t="s">
        <v>13</v>
      </c>
      <c r="H19" s="53" t="s">
        <v>10</v>
      </c>
      <c r="I19" s="53" t="s">
        <v>14</v>
      </c>
      <c r="J19" s="53" t="s">
        <v>15</v>
      </c>
      <c r="K19" s="53" t="s">
        <v>16</v>
      </c>
      <c r="L19" s="54" t="s">
        <v>10</v>
      </c>
      <c r="M19" s="53" t="s">
        <v>26</v>
      </c>
      <c r="N19" s="53" t="s">
        <v>8</v>
      </c>
      <c r="O19" s="49"/>
      <c r="P19" s="46"/>
    </row>
    <row r="20" spans="1:16" ht="12.75">
      <c r="A20" s="55" t="s">
        <v>86</v>
      </c>
      <c r="B20" s="55">
        <v>2290376.95</v>
      </c>
      <c r="C20" s="55">
        <f>1303240.09+67235.89+22375+47500+70120.34+57084.66+21585.54+159205.84+24582.89+9901.53+360609.11+30000+420+6000+2975.64</f>
        <v>2182836.5300000003</v>
      </c>
      <c r="D20" s="55">
        <v>117393</v>
      </c>
      <c r="E20" s="55">
        <v>3231895.91</v>
      </c>
      <c r="F20" s="55"/>
      <c r="G20" s="55">
        <v>15759.43</v>
      </c>
      <c r="H20" s="55"/>
      <c r="I20" s="55"/>
      <c r="J20" s="55">
        <f>750+36167</f>
        <v>36917</v>
      </c>
      <c r="K20" s="55"/>
      <c r="L20" s="55">
        <v>150000</v>
      </c>
      <c r="M20" s="55">
        <v>394998.76</v>
      </c>
      <c r="N20" s="46">
        <f>SUM(B20:M20)</f>
        <v>8420177.58</v>
      </c>
      <c r="O20" s="56"/>
      <c r="P20" s="55"/>
    </row>
    <row r="21" spans="1:16" ht="12.75">
      <c r="A21" s="55" t="s">
        <v>87</v>
      </c>
      <c r="B21" s="55"/>
      <c r="C21" s="55"/>
      <c r="D21" s="55"/>
      <c r="E21" s="55">
        <v>8806.54</v>
      </c>
      <c r="F21" s="55"/>
      <c r="G21" s="55"/>
      <c r="H21" s="55">
        <v>1024.74</v>
      </c>
      <c r="I21" s="55"/>
      <c r="J21" s="55">
        <v>613109.45</v>
      </c>
      <c r="K21" s="55"/>
      <c r="L21" s="55"/>
      <c r="M21" s="55"/>
      <c r="N21" s="46">
        <f>SUM(B21:M21)</f>
        <v>622940.73</v>
      </c>
      <c r="O21" s="56"/>
      <c r="P21" s="55"/>
    </row>
    <row r="22" spans="1:16" ht="12.75">
      <c r="A22" s="55" t="s">
        <v>88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46">
        <f>SUM(B22:M22)</f>
        <v>0</v>
      </c>
      <c r="O22" s="56"/>
      <c r="P22" s="55"/>
    </row>
    <row r="23" spans="1:16" ht="13.5" thickBot="1">
      <c r="A23" s="45" t="s">
        <v>7</v>
      </c>
      <c r="B23" s="57">
        <f aca="true" t="shared" si="2" ref="B23:M23">SUM(B20:B22)</f>
        <v>2290376.95</v>
      </c>
      <c r="C23" s="57">
        <f t="shared" si="2"/>
        <v>2182836.5300000003</v>
      </c>
      <c r="D23" s="57">
        <f t="shared" si="2"/>
        <v>117393</v>
      </c>
      <c r="E23" s="57">
        <f t="shared" si="2"/>
        <v>3240702.45</v>
      </c>
      <c r="F23" s="57">
        <f t="shared" si="2"/>
        <v>0</v>
      </c>
      <c r="G23" s="57">
        <f t="shared" si="2"/>
        <v>15759.43</v>
      </c>
      <c r="H23" s="57">
        <f t="shared" si="2"/>
        <v>1024.74</v>
      </c>
      <c r="I23" s="57">
        <f t="shared" si="2"/>
        <v>0</v>
      </c>
      <c r="J23" s="57">
        <f t="shared" si="2"/>
        <v>650026.45</v>
      </c>
      <c r="K23" s="57">
        <f t="shared" si="2"/>
        <v>0</v>
      </c>
      <c r="L23" s="57">
        <f t="shared" si="2"/>
        <v>150000</v>
      </c>
      <c r="M23" s="57">
        <f t="shared" si="2"/>
        <v>394998.76</v>
      </c>
      <c r="N23" s="57">
        <f>SUM(B23:M23)</f>
        <v>9043118.31</v>
      </c>
      <c r="O23" s="49"/>
      <c r="P23" s="46"/>
    </row>
    <row r="24" spans="1:16" ht="13.5" thickTop="1">
      <c r="A24" s="46"/>
      <c r="B24" s="50"/>
      <c r="C24" s="50"/>
      <c r="D24" s="50"/>
      <c r="E24" s="50"/>
      <c r="F24" s="50"/>
      <c r="G24" s="50"/>
      <c r="H24" s="50"/>
      <c r="I24" s="50"/>
      <c r="J24" s="50"/>
      <c r="K24" s="46"/>
      <c r="L24" s="46"/>
      <c r="M24" s="46"/>
      <c r="N24" s="50"/>
      <c r="O24" s="49"/>
      <c r="P24" s="46"/>
    </row>
    <row r="25" spans="1:16" ht="12.75">
      <c r="A25" s="46"/>
      <c r="B25" s="50"/>
      <c r="C25" s="50"/>
      <c r="D25" s="50"/>
      <c r="E25" s="50"/>
      <c r="F25" s="50"/>
      <c r="G25" s="50"/>
      <c r="H25" s="50"/>
      <c r="I25" s="50"/>
      <c r="J25" s="50"/>
      <c r="K25" s="46"/>
      <c r="L25" s="46"/>
      <c r="M25" s="46"/>
      <c r="N25" s="50"/>
      <c r="O25" s="49"/>
      <c r="P25" s="46"/>
    </row>
    <row r="26" spans="1:16" ht="12.75">
      <c r="A26" s="46"/>
      <c r="B26" s="50"/>
      <c r="C26" s="50"/>
      <c r="D26" s="50"/>
      <c r="E26" s="50"/>
      <c r="F26" s="50"/>
      <c r="G26" s="50"/>
      <c r="H26" s="50"/>
      <c r="I26" s="50"/>
      <c r="J26" s="50"/>
      <c r="K26" s="46"/>
      <c r="L26" s="50"/>
      <c r="M26" s="50"/>
      <c r="N26" s="50"/>
      <c r="O26" s="49"/>
      <c r="P26" s="46"/>
    </row>
    <row r="27" spans="1:16" ht="12.75">
      <c r="A27" s="45" t="s">
        <v>81</v>
      </c>
      <c r="B27" s="46"/>
      <c r="C27" s="46"/>
      <c r="D27" s="46"/>
      <c r="E27" s="46"/>
      <c r="F27" s="46"/>
      <c r="G27" s="46"/>
      <c r="H27" s="47"/>
      <c r="I27" s="46"/>
      <c r="J27" s="46"/>
      <c r="K27" s="46"/>
      <c r="L27" s="46"/>
      <c r="M27" s="46"/>
      <c r="N27" s="48" t="s">
        <v>92</v>
      </c>
      <c r="O27" s="49"/>
      <c r="P27" s="46"/>
    </row>
    <row r="28" spans="1:16" ht="12.75">
      <c r="A28" s="45" t="s">
        <v>32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9"/>
      <c r="P28" s="46"/>
    </row>
    <row r="29" spans="1:16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50"/>
      <c r="M29" s="46"/>
      <c r="N29" s="46"/>
      <c r="O29" s="49"/>
      <c r="P29" s="46"/>
    </row>
    <row r="30" spans="1:16" ht="12.75">
      <c r="A30" s="45" t="s">
        <v>93</v>
      </c>
      <c r="B30" s="51"/>
      <c r="C30" s="51"/>
      <c r="D30" s="51"/>
      <c r="E30" s="51"/>
      <c r="F30" s="51"/>
      <c r="G30" s="51"/>
      <c r="H30" s="51" t="s">
        <v>1</v>
      </c>
      <c r="I30" s="51"/>
      <c r="J30" s="51"/>
      <c r="K30" s="51"/>
      <c r="L30" s="52" t="s">
        <v>29</v>
      </c>
      <c r="M30" s="51"/>
      <c r="N30" s="51" t="s">
        <v>101</v>
      </c>
      <c r="O30" s="49"/>
      <c r="P30" s="46"/>
    </row>
    <row r="31" spans="1:16" ht="12.75">
      <c r="A31" s="46"/>
      <c r="B31" s="51" t="s">
        <v>2</v>
      </c>
      <c r="C31" s="51"/>
      <c r="D31" s="51" t="s">
        <v>3</v>
      </c>
      <c r="E31" s="51"/>
      <c r="F31" s="51"/>
      <c r="G31" s="51"/>
      <c r="H31" s="51" t="s">
        <v>4</v>
      </c>
      <c r="I31" s="51"/>
      <c r="J31" s="51" t="s">
        <v>5</v>
      </c>
      <c r="K31" s="51" t="s">
        <v>6</v>
      </c>
      <c r="L31" s="52" t="s">
        <v>30</v>
      </c>
      <c r="M31" s="51"/>
      <c r="N31" s="51" t="s">
        <v>7</v>
      </c>
      <c r="O31" s="49"/>
      <c r="P31" s="46"/>
    </row>
    <row r="32" spans="1:16" ht="12.75">
      <c r="A32" s="46"/>
      <c r="B32" s="53" t="s">
        <v>8</v>
      </c>
      <c r="C32" s="53" t="s">
        <v>9</v>
      </c>
      <c r="D32" s="53" t="s">
        <v>10</v>
      </c>
      <c r="E32" s="53" t="s">
        <v>11</v>
      </c>
      <c r="F32" s="53" t="s">
        <v>12</v>
      </c>
      <c r="G32" s="53" t="s">
        <v>13</v>
      </c>
      <c r="H32" s="53" t="s">
        <v>10</v>
      </c>
      <c r="I32" s="53" t="s">
        <v>14</v>
      </c>
      <c r="J32" s="53" t="s">
        <v>15</v>
      </c>
      <c r="K32" s="53" t="s">
        <v>16</v>
      </c>
      <c r="L32" s="54" t="s">
        <v>10</v>
      </c>
      <c r="M32" s="53" t="s">
        <v>26</v>
      </c>
      <c r="N32" s="53" t="s">
        <v>8</v>
      </c>
      <c r="O32" s="49"/>
      <c r="P32" s="46"/>
    </row>
    <row r="33" spans="1:16" ht="12.75">
      <c r="A33" s="55" t="s">
        <v>86</v>
      </c>
      <c r="B33" s="55">
        <v>6061203.82</v>
      </c>
      <c r="C33" s="55">
        <f>1958.29+1280208.25-283.5+14457.03+79.96+17633.14</f>
        <v>1314053.17</v>
      </c>
      <c r="D33" s="55"/>
      <c r="E33" s="55">
        <v>6463791.81</v>
      </c>
      <c r="F33" s="55"/>
      <c r="G33" s="55">
        <v>163065.2</v>
      </c>
      <c r="H33" s="55">
        <v>5139009.77</v>
      </c>
      <c r="I33" s="55">
        <v>386665.74</v>
      </c>
      <c r="J33" s="55">
        <f>365886.16+104184.31+36166-3355.2-17666.34</f>
        <v>485214.92999999993</v>
      </c>
      <c r="K33" s="55">
        <v>4681945.81</v>
      </c>
      <c r="L33" s="55">
        <v>18767646.86</v>
      </c>
      <c r="M33" s="55">
        <v>289676</v>
      </c>
      <c r="N33" s="46">
        <f>SUM(B33:M33)</f>
        <v>43752273.11</v>
      </c>
      <c r="O33" s="56"/>
      <c r="P33" s="55"/>
    </row>
    <row r="34" spans="1:16" ht="12.75">
      <c r="A34" s="55" t="s">
        <v>87</v>
      </c>
      <c r="B34" s="55"/>
      <c r="C34" s="55"/>
      <c r="D34" s="55"/>
      <c r="E34" s="55"/>
      <c r="F34" s="55"/>
      <c r="G34" s="55"/>
      <c r="H34" s="55"/>
      <c r="I34" s="55">
        <v>1177.75</v>
      </c>
      <c r="J34" s="55">
        <v>2050.56</v>
      </c>
      <c r="K34" s="55"/>
      <c r="L34" s="55"/>
      <c r="M34" s="55"/>
      <c r="N34" s="46">
        <f>SUM(B34:M34)</f>
        <v>3228.31</v>
      </c>
      <c r="O34" s="56"/>
      <c r="P34" s="55"/>
    </row>
    <row r="35" spans="1:16" ht="12.75">
      <c r="A35" s="55" t="s">
        <v>88</v>
      </c>
      <c r="B35" s="58"/>
      <c r="C35" s="58"/>
      <c r="D35" s="58"/>
      <c r="E35" s="58"/>
      <c r="F35" s="58"/>
      <c r="G35" s="58"/>
      <c r="H35" s="58"/>
      <c r="I35" s="58">
        <v>26944</v>
      </c>
      <c r="J35" s="58"/>
      <c r="K35" s="58"/>
      <c r="L35" s="58"/>
      <c r="M35" s="58"/>
      <c r="N35" s="59">
        <f>SUM(B35:M35)</f>
        <v>26944</v>
      </c>
      <c r="O35" s="56"/>
      <c r="P35" s="55"/>
    </row>
    <row r="36" spans="1:16" ht="13.5" thickBot="1">
      <c r="A36" s="45" t="s">
        <v>7</v>
      </c>
      <c r="B36" s="57">
        <f aca="true" t="shared" si="3" ref="B36:M36">SUM(B33:B35)</f>
        <v>6061203.82</v>
      </c>
      <c r="C36" s="57">
        <f t="shared" si="3"/>
        <v>1314053.17</v>
      </c>
      <c r="D36" s="57">
        <f t="shared" si="3"/>
        <v>0</v>
      </c>
      <c r="E36" s="57">
        <f t="shared" si="3"/>
        <v>6463791.81</v>
      </c>
      <c r="F36" s="57">
        <f t="shared" si="3"/>
        <v>0</v>
      </c>
      <c r="G36" s="57">
        <f t="shared" si="3"/>
        <v>163065.2</v>
      </c>
      <c r="H36" s="57">
        <f t="shared" si="3"/>
        <v>5139009.77</v>
      </c>
      <c r="I36" s="57">
        <f t="shared" si="3"/>
        <v>414787.49</v>
      </c>
      <c r="J36" s="57">
        <f t="shared" si="3"/>
        <v>487265.48999999993</v>
      </c>
      <c r="K36" s="57">
        <f t="shared" si="3"/>
        <v>4681945.81</v>
      </c>
      <c r="L36" s="57">
        <f t="shared" si="3"/>
        <v>18767646.86</v>
      </c>
      <c r="M36" s="57">
        <f t="shared" si="3"/>
        <v>289676</v>
      </c>
      <c r="N36" s="57">
        <f>SUM(B36:M36)</f>
        <v>43782445.419999994</v>
      </c>
      <c r="O36" s="49"/>
      <c r="P36" s="46"/>
    </row>
    <row r="37" spans="1:16" ht="13.5" thickTop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9"/>
      <c r="P37" s="46"/>
    </row>
    <row r="38" spans="1:16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9"/>
      <c r="P38" s="46"/>
    </row>
    <row r="39" spans="1:16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9"/>
      <c r="P39" s="46"/>
    </row>
    <row r="40" spans="1:16" ht="12.75">
      <c r="A40" s="45" t="s">
        <v>81</v>
      </c>
      <c r="B40" s="46"/>
      <c r="C40" s="46"/>
      <c r="D40" s="46"/>
      <c r="E40" s="46"/>
      <c r="F40" s="46"/>
      <c r="G40" s="46"/>
      <c r="H40" s="47"/>
      <c r="I40" s="46"/>
      <c r="J40" s="46"/>
      <c r="K40" s="46"/>
      <c r="L40" s="46"/>
      <c r="M40" s="46"/>
      <c r="N40" s="48" t="s">
        <v>94</v>
      </c>
      <c r="O40" s="49"/>
      <c r="P40" s="46"/>
    </row>
    <row r="41" spans="1:16" ht="12.75">
      <c r="A41" s="45" t="s">
        <v>28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9"/>
      <c r="P41" s="46"/>
    </row>
    <row r="42" spans="1:16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50"/>
      <c r="M42" s="46"/>
      <c r="N42" s="46"/>
      <c r="O42" s="49"/>
      <c r="P42" s="46"/>
    </row>
    <row r="43" spans="1:16" ht="12.75">
      <c r="A43" s="45" t="s">
        <v>93</v>
      </c>
      <c r="B43" s="51"/>
      <c r="C43" s="51"/>
      <c r="D43" s="51"/>
      <c r="E43" s="51"/>
      <c r="F43" s="51"/>
      <c r="G43" s="51"/>
      <c r="H43" s="51" t="s">
        <v>1</v>
      </c>
      <c r="I43" s="51"/>
      <c r="J43" s="51"/>
      <c r="K43" s="51"/>
      <c r="L43" s="52" t="s">
        <v>29</v>
      </c>
      <c r="M43" s="51"/>
      <c r="N43" s="51" t="s">
        <v>101</v>
      </c>
      <c r="O43" s="49"/>
      <c r="P43" s="46"/>
    </row>
    <row r="44" spans="1:16" ht="12.75">
      <c r="A44" s="46"/>
      <c r="B44" s="51" t="s">
        <v>2</v>
      </c>
      <c r="C44" s="51"/>
      <c r="D44" s="51" t="s">
        <v>3</v>
      </c>
      <c r="E44" s="51"/>
      <c r="F44" s="51"/>
      <c r="G44" s="51"/>
      <c r="H44" s="51" t="s">
        <v>4</v>
      </c>
      <c r="I44" s="51"/>
      <c r="J44" s="51" t="s">
        <v>5</v>
      </c>
      <c r="K44" s="51" t="s">
        <v>6</v>
      </c>
      <c r="L44" s="52" t="s">
        <v>30</v>
      </c>
      <c r="M44" s="51"/>
      <c r="N44" s="51" t="s">
        <v>7</v>
      </c>
      <c r="O44" s="49"/>
      <c r="P44" s="46"/>
    </row>
    <row r="45" spans="1:16" ht="12.75">
      <c r="A45" s="46"/>
      <c r="B45" s="53" t="s">
        <v>8</v>
      </c>
      <c r="C45" s="53" t="s">
        <v>9</v>
      </c>
      <c r="D45" s="53" t="s">
        <v>10</v>
      </c>
      <c r="E45" s="53" t="s">
        <v>11</v>
      </c>
      <c r="F45" s="53" t="s">
        <v>12</v>
      </c>
      <c r="G45" s="53" t="s">
        <v>13</v>
      </c>
      <c r="H45" s="53" t="s">
        <v>10</v>
      </c>
      <c r="I45" s="53" t="s">
        <v>14</v>
      </c>
      <c r="J45" s="53" t="s">
        <v>15</v>
      </c>
      <c r="K45" s="53" t="s">
        <v>16</v>
      </c>
      <c r="L45" s="54" t="s">
        <v>10</v>
      </c>
      <c r="M45" s="53" t="s">
        <v>26</v>
      </c>
      <c r="N45" s="53" t="s">
        <v>8</v>
      </c>
      <c r="O45" s="49"/>
      <c r="P45" s="46"/>
    </row>
    <row r="46" spans="1:16" ht="12.75">
      <c r="A46" s="55" t="s">
        <v>86</v>
      </c>
      <c r="B46" s="55">
        <f>3107359.22-1100000+373680+187000+913000+324999.78+7467046.01</f>
        <v>11273085.01</v>
      </c>
      <c r="C46" s="55"/>
      <c r="D46" s="55"/>
      <c r="E46" s="55">
        <v>3231895.91</v>
      </c>
      <c r="F46" s="55"/>
      <c r="G46" s="55"/>
      <c r="H46" s="55"/>
      <c r="I46" s="55">
        <v>247282.11</v>
      </c>
      <c r="J46" s="55">
        <f>3.32+104184.31+36167-3355.02</f>
        <v>136999.61000000002</v>
      </c>
      <c r="K46" s="55"/>
      <c r="L46" s="55">
        <v>1499818.66</v>
      </c>
      <c r="M46" s="55"/>
      <c r="N46" s="46">
        <f>SUM(B46:M46)</f>
        <v>16389081.299999999</v>
      </c>
      <c r="O46" s="56"/>
      <c r="P46" s="55"/>
    </row>
    <row r="47" spans="1:16" ht="12.75">
      <c r="A47" s="55" t="s">
        <v>87</v>
      </c>
      <c r="B47" s="55"/>
      <c r="C47" s="55"/>
      <c r="D47" s="55"/>
      <c r="E47" s="55"/>
      <c r="F47" s="55"/>
      <c r="G47" s="55"/>
      <c r="H47" s="55"/>
      <c r="I47" s="55"/>
      <c r="J47" s="55">
        <v>1200</v>
      </c>
      <c r="K47" s="55"/>
      <c r="L47" s="55"/>
      <c r="M47" s="55"/>
      <c r="N47" s="46">
        <f>SUM(B47:M47)</f>
        <v>1200</v>
      </c>
      <c r="O47" s="56"/>
      <c r="P47" s="55"/>
    </row>
    <row r="48" spans="1:16" ht="12.75">
      <c r="A48" s="55" t="s">
        <v>88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9">
        <f>SUM(B48:M48)</f>
        <v>0</v>
      </c>
      <c r="O48" s="56"/>
      <c r="P48" s="55"/>
    </row>
    <row r="49" spans="1:16" ht="13.5" thickBot="1">
      <c r="A49" s="45" t="s">
        <v>7</v>
      </c>
      <c r="B49" s="57">
        <f aca="true" t="shared" si="4" ref="B49:M49">SUM(B46:B48)</f>
        <v>11273085.01</v>
      </c>
      <c r="C49" s="57">
        <f t="shared" si="4"/>
        <v>0</v>
      </c>
      <c r="D49" s="57">
        <f t="shared" si="4"/>
        <v>0</v>
      </c>
      <c r="E49" s="57">
        <f t="shared" si="4"/>
        <v>3231895.91</v>
      </c>
      <c r="F49" s="57">
        <f t="shared" si="4"/>
        <v>0</v>
      </c>
      <c r="G49" s="57">
        <f t="shared" si="4"/>
        <v>0</v>
      </c>
      <c r="H49" s="57">
        <f t="shared" si="4"/>
        <v>0</v>
      </c>
      <c r="I49" s="57">
        <f t="shared" si="4"/>
        <v>247282.11</v>
      </c>
      <c r="J49" s="57">
        <f t="shared" si="4"/>
        <v>138199.61000000002</v>
      </c>
      <c r="K49" s="57">
        <f t="shared" si="4"/>
        <v>0</v>
      </c>
      <c r="L49" s="57">
        <f t="shared" si="4"/>
        <v>1499818.66</v>
      </c>
      <c r="M49" s="57">
        <f t="shared" si="4"/>
        <v>0</v>
      </c>
      <c r="N49" s="57">
        <f>SUM(B49:M49)</f>
        <v>16390281.299999999</v>
      </c>
      <c r="O49" s="49"/>
      <c r="P49" s="46"/>
    </row>
    <row r="50" spans="1:16" ht="13.5" thickTop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9"/>
      <c r="P50" s="46"/>
    </row>
    <row r="51" spans="1:16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9"/>
      <c r="P51" s="46"/>
    </row>
    <row r="52" spans="1:16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9"/>
      <c r="P52" s="46"/>
    </row>
    <row r="53" spans="1:16" ht="12.75">
      <c r="A53" s="45" t="s">
        <v>81</v>
      </c>
      <c r="B53" s="46"/>
      <c r="C53" s="46"/>
      <c r="D53" s="46"/>
      <c r="E53" s="46"/>
      <c r="F53" s="46"/>
      <c r="G53" s="46"/>
      <c r="H53" s="47"/>
      <c r="I53" s="46"/>
      <c r="J53" s="46"/>
      <c r="K53" s="46"/>
      <c r="L53" s="46"/>
      <c r="M53" s="46"/>
      <c r="N53" s="46"/>
      <c r="O53" s="48" t="s">
        <v>95</v>
      </c>
      <c r="P53" s="49"/>
    </row>
    <row r="54" spans="1:16" ht="12.75">
      <c r="A54" s="45" t="s">
        <v>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9"/>
      <c r="P54" s="46"/>
    </row>
    <row r="55" spans="1:16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50"/>
      <c r="M55" s="46"/>
      <c r="N55" s="46"/>
      <c r="O55" s="49"/>
      <c r="P55" s="46"/>
    </row>
    <row r="56" spans="1:16" ht="12.75">
      <c r="A56" s="45" t="s">
        <v>96</v>
      </c>
      <c r="B56" s="51"/>
      <c r="C56" s="51"/>
      <c r="D56" s="51"/>
      <c r="E56" s="51"/>
      <c r="F56" s="51"/>
      <c r="G56" s="51"/>
      <c r="H56" s="51" t="s">
        <v>1</v>
      </c>
      <c r="I56" s="51"/>
      <c r="J56" s="51"/>
      <c r="K56" s="51"/>
      <c r="L56" s="52" t="s">
        <v>29</v>
      </c>
      <c r="M56" s="51"/>
      <c r="N56" s="51"/>
      <c r="O56" s="51" t="s">
        <v>101</v>
      </c>
      <c r="P56" s="49"/>
    </row>
    <row r="57" spans="1:16" ht="12.75">
      <c r="A57" s="46"/>
      <c r="B57" s="51" t="s">
        <v>2</v>
      </c>
      <c r="C57" s="51"/>
      <c r="D57" s="51" t="s">
        <v>3</v>
      </c>
      <c r="E57" s="51"/>
      <c r="F57" s="51"/>
      <c r="G57" s="51"/>
      <c r="H57" s="51" t="s">
        <v>4</v>
      </c>
      <c r="I57" s="51"/>
      <c r="J57" s="51" t="s">
        <v>5</v>
      </c>
      <c r="K57" s="51" t="s">
        <v>6</v>
      </c>
      <c r="L57" s="52" t="s">
        <v>30</v>
      </c>
      <c r="M57" s="51"/>
      <c r="N57" s="51"/>
      <c r="O57" s="51" t="s">
        <v>7</v>
      </c>
      <c r="P57" s="49"/>
    </row>
    <row r="58" spans="1:16" ht="12.75">
      <c r="A58" s="46"/>
      <c r="B58" s="53" t="s">
        <v>8</v>
      </c>
      <c r="C58" s="53" t="s">
        <v>9</v>
      </c>
      <c r="D58" s="53" t="s">
        <v>10</v>
      </c>
      <c r="E58" s="53" t="s">
        <v>11</v>
      </c>
      <c r="F58" s="53" t="s">
        <v>12</v>
      </c>
      <c r="G58" s="53" t="s">
        <v>13</v>
      </c>
      <c r="H58" s="53" t="s">
        <v>10</v>
      </c>
      <c r="I58" s="53" t="s">
        <v>14</v>
      </c>
      <c r="J58" s="53" t="s">
        <v>15</v>
      </c>
      <c r="K58" s="53" t="s">
        <v>16</v>
      </c>
      <c r="L58" s="54" t="s">
        <v>10</v>
      </c>
      <c r="M58" s="53" t="s">
        <v>26</v>
      </c>
      <c r="N58" s="53" t="s">
        <v>77</v>
      </c>
      <c r="O58" s="53" t="s">
        <v>8</v>
      </c>
      <c r="P58" s="49"/>
    </row>
    <row r="59" spans="1:16" ht="12.75">
      <c r="A59" s="46" t="s">
        <v>97</v>
      </c>
      <c r="B59" s="46">
        <v>19802522</v>
      </c>
      <c r="C59" s="46">
        <v>96904481</v>
      </c>
      <c r="D59" s="46">
        <v>29112917</v>
      </c>
      <c r="E59" s="46">
        <v>6730975</v>
      </c>
      <c r="F59" s="46">
        <v>12382872</v>
      </c>
      <c r="G59" s="46">
        <v>27730925</v>
      </c>
      <c r="H59" s="46">
        <v>10463557</v>
      </c>
      <c r="I59" s="46">
        <v>2764186</v>
      </c>
      <c r="J59" s="46">
        <v>17266324</v>
      </c>
      <c r="K59" s="46">
        <v>26781918</v>
      </c>
      <c r="L59" s="46">
        <v>19436573</v>
      </c>
      <c r="M59" s="46">
        <v>1441580</v>
      </c>
      <c r="N59" s="46">
        <v>8759459</v>
      </c>
      <c r="O59" s="46">
        <f>SUM(B59:N59)</f>
        <v>279578289</v>
      </c>
      <c r="P59" s="49"/>
    </row>
    <row r="60" spans="1:16" ht="12.75">
      <c r="A60" s="46" t="s">
        <v>98</v>
      </c>
      <c r="B60" s="46">
        <f aca="true" t="shared" si="5" ref="B60:M60">B10</f>
        <v>19624665.78</v>
      </c>
      <c r="C60" s="46">
        <f t="shared" si="5"/>
        <v>3496889.7</v>
      </c>
      <c r="D60" s="46">
        <f t="shared" si="5"/>
        <v>117393</v>
      </c>
      <c r="E60" s="46">
        <f t="shared" si="5"/>
        <v>12936390.169999998</v>
      </c>
      <c r="F60" s="46">
        <f t="shared" si="5"/>
        <v>0</v>
      </c>
      <c r="G60" s="46">
        <f t="shared" si="5"/>
        <v>178824.63</v>
      </c>
      <c r="H60" s="46">
        <f t="shared" si="5"/>
        <v>5140034.51</v>
      </c>
      <c r="I60" s="46">
        <f t="shared" si="5"/>
        <v>662069.6</v>
      </c>
      <c r="J60" s="46">
        <f t="shared" si="5"/>
        <v>1275491.5499999998</v>
      </c>
      <c r="K60" s="46">
        <f t="shared" si="5"/>
        <v>4681945.81</v>
      </c>
      <c r="L60" s="46">
        <f t="shared" si="5"/>
        <v>20417465.52</v>
      </c>
      <c r="M60" s="46">
        <f t="shared" si="5"/>
        <v>684674.76</v>
      </c>
      <c r="N60" s="46"/>
      <c r="O60" s="46">
        <f>SUM(B60:N60)</f>
        <v>69215845.03</v>
      </c>
      <c r="P60" s="49" t="s">
        <v>34</v>
      </c>
    </row>
    <row r="61" spans="1:16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9"/>
    </row>
    <row r="62" spans="1:16" ht="13.5" thickBot="1">
      <c r="A62" s="45" t="s">
        <v>7</v>
      </c>
      <c r="B62" s="60">
        <f aca="true" t="shared" si="6" ref="B62:O62">SUM(B59:B61)</f>
        <v>39427187.78</v>
      </c>
      <c r="C62" s="60">
        <f t="shared" si="6"/>
        <v>100401370.7</v>
      </c>
      <c r="D62" s="60">
        <f t="shared" si="6"/>
        <v>29230310</v>
      </c>
      <c r="E62" s="60">
        <f t="shared" si="6"/>
        <v>19667365.169999998</v>
      </c>
      <c r="F62" s="60">
        <f t="shared" si="6"/>
        <v>12382872</v>
      </c>
      <c r="G62" s="60">
        <f t="shared" si="6"/>
        <v>27909749.63</v>
      </c>
      <c r="H62" s="60">
        <f t="shared" si="6"/>
        <v>15603591.51</v>
      </c>
      <c r="I62" s="60">
        <f t="shared" si="6"/>
        <v>3426255.6</v>
      </c>
      <c r="J62" s="60">
        <f t="shared" si="6"/>
        <v>18541815.55</v>
      </c>
      <c r="K62" s="60">
        <f t="shared" si="6"/>
        <v>31463863.81</v>
      </c>
      <c r="L62" s="60">
        <f t="shared" si="6"/>
        <v>39854038.519999996</v>
      </c>
      <c r="M62" s="60">
        <f t="shared" si="6"/>
        <v>2126254.76</v>
      </c>
      <c r="N62" s="60">
        <f t="shared" si="6"/>
        <v>8759459</v>
      </c>
      <c r="O62" s="60">
        <f t="shared" si="6"/>
        <v>348794134.03</v>
      </c>
      <c r="P62" s="49"/>
    </row>
    <row r="63" spans="1:16" ht="13.5" thickTop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9"/>
      <c r="P63" s="46"/>
    </row>
    <row r="64" spans="1:16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9"/>
      <c r="P64" s="46"/>
    </row>
    <row r="65" spans="1:16" ht="12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9"/>
      <c r="P65" s="46"/>
    </row>
    <row r="66" spans="1:16" ht="12.75">
      <c r="A66" s="45" t="s">
        <v>100</v>
      </c>
      <c r="B66" s="46"/>
      <c r="C66" s="46"/>
      <c r="D66" s="46"/>
      <c r="E66" s="46"/>
      <c r="F66" s="46"/>
      <c r="G66" s="46"/>
      <c r="H66" s="47"/>
      <c r="I66" s="46"/>
      <c r="J66" s="46"/>
      <c r="K66" s="46"/>
      <c r="L66" s="46"/>
      <c r="M66" s="46"/>
      <c r="N66" s="46"/>
      <c r="O66" s="48" t="s">
        <v>95</v>
      </c>
      <c r="P66" s="49"/>
    </row>
    <row r="67" spans="1:16" ht="12.75">
      <c r="A67" s="45" t="s">
        <v>0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9"/>
    </row>
    <row r="68" spans="1:16" ht="12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50"/>
      <c r="M68" s="46"/>
      <c r="N68" s="46"/>
      <c r="O68" s="46"/>
      <c r="P68" s="49"/>
    </row>
    <row r="69" spans="1:16" ht="12.75">
      <c r="A69" s="45" t="s">
        <v>99</v>
      </c>
      <c r="B69" s="51"/>
      <c r="C69" s="51"/>
      <c r="D69" s="51"/>
      <c r="E69" s="51"/>
      <c r="F69" s="51"/>
      <c r="G69" s="51"/>
      <c r="H69" s="51" t="s">
        <v>1</v>
      </c>
      <c r="I69" s="51"/>
      <c r="J69" s="51"/>
      <c r="K69" s="51"/>
      <c r="L69" s="52" t="s">
        <v>29</v>
      </c>
      <c r="M69" s="51"/>
      <c r="N69" s="51"/>
      <c r="O69" s="51" t="s">
        <v>85</v>
      </c>
      <c r="P69" s="49"/>
    </row>
    <row r="70" spans="1:16" ht="12.75">
      <c r="A70" s="46"/>
      <c r="B70" s="51" t="s">
        <v>2</v>
      </c>
      <c r="C70" s="51"/>
      <c r="D70" s="51" t="s">
        <v>3</v>
      </c>
      <c r="E70" s="51"/>
      <c r="F70" s="51"/>
      <c r="G70" s="51"/>
      <c r="H70" s="51" t="s">
        <v>4</v>
      </c>
      <c r="I70" s="51"/>
      <c r="J70" s="51" t="s">
        <v>5</v>
      </c>
      <c r="K70" s="51" t="s">
        <v>6</v>
      </c>
      <c r="L70" s="52" t="s">
        <v>30</v>
      </c>
      <c r="M70" s="51"/>
      <c r="N70" s="51"/>
      <c r="O70" s="51" t="s">
        <v>7</v>
      </c>
      <c r="P70" s="49"/>
    </row>
    <row r="71" spans="1:16" ht="12.75">
      <c r="A71" s="46"/>
      <c r="B71" s="53" t="s">
        <v>8</v>
      </c>
      <c r="C71" s="53" t="s">
        <v>9</v>
      </c>
      <c r="D71" s="53" t="s">
        <v>10</v>
      </c>
      <c r="E71" s="53" t="s">
        <v>11</v>
      </c>
      <c r="F71" s="53" t="s">
        <v>12</v>
      </c>
      <c r="G71" s="53" t="s">
        <v>13</v>
      </c>
      <c r="H71" s="53" t="s">
        <v>10</v>
      </c>
      <c r="I71" s="53" t="s">
        <v>14</v>
      </c>
      <c r="J71" s="53" t="s">
        <v>15</v>
      </c>
      <c r="K71" s="53" t="s">
        <v>16</v>
      </c>
      <c r="L71" s="54" t="s">
        <v>10</v>
      </c>
      <c r="M71" s="53" t="s">
        <v>26</v>
      </c>
      <c r="N71" s="53" t="s">
        <v>77</v>
      </c>
      <c r="O71" s="53" t="s">
        <v>8</v>
      </c>
      <c r="P71" s="49"/>
    </row>
    <row r="72" spans="1:16" ht="12.75">
      <c r="A72" s="46" t="s">
        <v>97</v>
      </c>
      <c r="B72" s="46">
        <v>19650337</v>
      </c>
      <c r="C72" s="46">
        <v>98932054</v>
      </c>
      <c r="D72" s="46">
        <v>28097571</v>
      </c>
      <c r="E72" s="46">
        <v>6354076</v>
      </c>
      <c r="F72" s="46">
        <v>7454233</v>
      </c>
      <c r="G72" s="46">
        <v>26239967</v>
      </c>
      <c r="H72" s="46">
        <v>10124421</v>
      </c>
      <c r="I72" s="46">
        <v>3860783</v>
      </c>
      <c r="J72" s="46">
        <v>18064842</v>
      </c>
      <c r="K72" s="46">
        <v>25919018</v>
      </c>
      <c r="L72" s="46">
        <v>11511863</v>
      </c>
      <c r="M72" s="46">
        <v>926546</v>
      </c>
      <c r="N72" s="46">
        <v>12160049</v>
      </c>
      <c r="O72" s="46">
        <f>SUM(B72:N72)</f>
        <v>269295760</v>
      </c>
      <c r="P72" s="49"/>
    </row>
    <row r="73" spans="1:16" ht="12.75">
      <c r="A73" s="46" t="s">
        <v>98</v>
      </c>
      <c r="B73" s="46">
        <v>5692104</v>
      </c>
      <c r="C73" s="46">
        <v>2908340</v>
      </c>
      <c r="D73" s="46">
        <v>0</v>
      </c>
      <c r="E73" s="46">
        <v>0</v>
      </c>
      <c r="F73" s="46">
        <v>118646</v>
      </c>
      <c r="G73" s="46">
        <v>1407461</v>
      </c>
      <c r="H73" s="46">
        <v>379</v>
      </c>
      <c r="I73" s="46">
        <v>432575</v>
      </c>
      <c r="J73" s="46">
        <v>2440839</v>
      </c>
      <c r="K73" s="46">
        <v>10783662</v>
      </c>
      <c r="L73" s="46">
        <v>20417466</v>
      </c>
      <c r="M73" s="46">
        <v>684675</v>
      </c>
      <c r="N73" s="46">
        <v>0</v>
      </c>
      <c r="O73" s="46">
        <f>SUM(B73:N73)</f>
        <v>44886147</v>
      </c>
      <c r="P73" s="49" t="s">
        <v>34</v>
      </c>
    </row>
    <row r="74" spans="1:16" ht="12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9"/>
    </row>
    <row r="75" spans="1:16" ht="13.5" thickBot="1">
      <c r="A75" s="45" t="s">
        <v>7</v>
      </c>
      <c r="B75" s="60">
        <f aca="true" t="shared" si="7" ref="B75:O75">SUM(B72:B74)</f>
        <v>25342441</v>
      </c>
      <c r="C75" s="60">
        <f t="shared" si="7"/>
        <v>101840394</v>
      </c>
      <c r="D75" s="60">
        <f t="shared" si="7"/>
        <v>28097571</v>
      </c>
      <c r="E75" s="60">
        <f t="shared" si="7"/>
        <v>6354076</v>
      </c>
      <c r="F75" s="60">
        <f t="shared" si="7"/>
        <v>7572879</v>
      </c>
      <c r="G75" s="60">
        <f t="shared" si="7"/>
        <v>27647428</v>
      </c>
      <c r="H75" s="60">
        <f t="shared" si="7"/>
        <v>10124800</v>
      </c>
      <c r="I75" s="60">
        <f t="shared" si="7"/>
        <v>4293358</v>
      </c>
      <c r="J75" s="60">
        <f t="shared" si="7"/>
        <v>20505681</v>
      </c>
      <c r="K75" s="60">
        <f t="shared" si="7"/>
        <v>36702680</v>
      </c>
      <c r="L75" s="60">
        <f t="shared" si="7"/>
        <v>31929329</v>
      </c>
      <c r="M75" s="60">
        <f t="shared" si="7"/>
        <v>1611221</v>
      </c>
      <c r="N75" s="60">
        <f t="shared" si="7"/>
        <v>12160049</v>
      </c>
      <c r="O75" s="60">
        <f t="shared" si="7"/>
        <v>314181907</v>
      </c>
      <c r="P75" s="49"/>
    </row>
    <row r="76" spans="1:16" ht="13.5" thickTop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9"/>
      <c r="P76" s="46"/>
    </row>
    <row r="77" spans="1:16" ht="12.7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9"/>
      <c r="P77" s="46"/>
    </row>
    <row r="78" spans="1:16" ht="12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9"/>
      <c r="P78" s="46"/>
    </row>
    <row r="79" spans="1:16" ht="12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9"/>
      <c r="P79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Sponsored Program Expenditures for FY95</dc:title>
  <dc:subject>SP EXP FOR fy95</dc:subject>
  <dc:creator>Stefanie McCubbins</dc:creator>
  <cp:keywords/>
  <dc:description/>
  <cp:lastModifiedBy>Tetik, Carmen</cp:lastModifiedBy>
  <cp:lastPrinted>2018-04-24T14:43:37Z</cp:lastPrinted>
  <dcterms:created xsi:type="dcterms:W3CDTF">1997-10-10T20:56:20Z</dcterms:created>
  <dcterms:modified xsi:type="dcterms:W3CDTF">2018-04-25T21:25:56Z</dcterms:modified>
  <cp:category/>
  <cp:version/>
  <cp:contentType/>
  <cp:contentStatus/>
</cp:coreProperties>
</file>