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4"/>
  </bookViews>
  <sheets>
    <sheet name="Sponsored Programs" sheetId="1" r:id="rId1"/>
    <sheet name="Research" sheetId="2" r:id="rId2"/>
    <sheet name="Instruction" sheetId="3" r:id="rId3"/>
    <sheet name="Extension" sheetId="4" r:id="rId4"/>
    <sheet name="Supplemental Information" sheetId="5" r:id="rId5"/>
  </sheets>
  <definedNames>
    <definedName name="_xlnm.Print_Area" localSheetId="3">'Extension'!$A$1:$R$62</definedName>
    <definedName name="_xlnm.Print_Area" localSheetId="2">'Instruction'!$A$1:$R$64</definedName>
    <definedName name="_xlnm.Print_Area" localSheetId="1">'Research'!$A$1:$R$63</definedName>
    <definedName name="_xlnm.Print_Area" localSheetId="0">'Sponsored Programs'!$A$1:$R$65</definedName>
  </definedNames>
  <calcPr fullCalcOnLoad="1"/>
</workbook>
</file>

<file path=xl/sharedStrings.xml><?xml version="1.0" encoding="utf-8"?>
<sst xmlns="http://schemas.openxmlformats.org/spreadsheetml/2006/main" count="506" uniqueCount="102">
  <si>
    <t>Sponsored Program Fund Sources and Expenditures by Agency  (Based on Accrual)</t>
  </si>
  <si>
    <t>Human</t>
  </si>
  <si>
    <t>General</t>
  </si>
  <si>
    <t>Arts &amp;</t>
  </si>
  <si>
    <t>Environ.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</si>
  <si>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</si>
  <si>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</si>
  <si>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</si>
  <si>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</si>
  <si>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</si>
  <si>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</si>
  <si>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</si>
  <si>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</si>
  <si>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</si>
  <si>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</si>
  <si>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</si>
  <si>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</si>
  <si>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</si>
  <si>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</si>
  <si>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</si>
  <si>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</si>
  <si>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</si>
  <si>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</si>
  <si>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</si>
  <si>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</si>
  <si>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</si>
  <si>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</si>
  <si>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</si>
  <si>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Extension Fund Sources and Expenditures by Agency  (Based on Accrual)</t>
  </si>
  <si>
    <t>Center</t>
  </si>
  <si>
    <t>for Health</t>
  </si>
  <si>
    <t>Instruction Fund Sources and Expenditures by Agency  (Based on Accrual)</t>
  </si>
  <si>
    <t>Research Fund Sources and Expenditures by Agency  (Based on Accrual)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</si>
  <si>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</si>
  <si>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</si>
  <si>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</si>
  <si>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</si>
  <si>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</si>
  <si>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</si>
  <si>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</si>
  <si>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</si>
  <si>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</si>
  <si>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</si>
  <si>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</si>
  <si>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</si>
  <si>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</si>
  <si>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</si>
  <si>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</si>
  <si>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</si>
  <si>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</si>
  <si>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</si>
  <si>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</si>
  <si>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</si>
  <si>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</si>
  <si>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</si>
  <si>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</si>
  <si>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</si>
  <si>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</si>
  <si>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</si>
  <si>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</si>
  <si>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</si>
  <si>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</si>
  <si>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</si>
  <si>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</si>
  <si>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</si>
  <si>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</si>
  <si>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</si>
  <si>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</si>
  <si>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</si>
  <si>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</si>
  <si>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</si>
  <si>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</si>
  <si>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</si>
  <si>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</si>
  <si>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</si>
  <si>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FY 2017</t>
  </si>
  <si>
    <t>2018 Research Report - Oklahoma State University</t>
  </si>
  <si>
    <t>FY 2018</t>
  </si>
  <si>
    <t>FY17 Totals for Comparison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</si>
  <si>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</si>
  <si>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</si>
  <si>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</si>
  <si>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Page 5</t>
  </si>
  <si>
    <t>Part 2 A</t>
  </si>
  <si>
    <t>Plant Funds</t>
  </si>
  <si>
    <t>OSU Foundation</t>
  </si>
  <si>
    <t>In-kind Contributions</t>
  </si>
  <si>
    <t>Page 6</t>
  </si>
  <si>
    <t>Research Fund Sources and Expenditures by Agency (Based on Accrual)</t>
  </si>
  <si>
    <t>Part 2 B</t>
  </si>
  <si>
    <t>Page 7</t>
  </si>
  <si>
    <t>Part 2 B Continued</t>
  </si>
  <si>
    <t>Page 8</t>
  </si>
  <si>
    <t>Page 9</t>
  </si>
  <si>
    <t xml:space="preserve">  </t>
  </si>
  <si>
    <t>OSURF</t>
  </si>
  <si>
    <t>Part 1</t>
  </si>
  <si>
    <t>Part 2 *</t>
  </si>
  <si>
    <t>Summary</t>
  </si>
  <si>
    <t>2018 Research Report Oklahoma State University</t>
  </si>
  <si>
    <t>2017 Research Report Oklahoma State University - For Comparison</t>
  </si>
  <si>
    <t>FY2018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</si>
</sst>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3" borderId="0" xfId="0" applyNumberFormat="1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34" borderId="0" xfId="0" applyNumberFormat="1" applyFont="1" applyFill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center"/>
    </xf>
    <xf numFmtId="10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Alignment="1" quotePrefix="1">
      <alignment/>
    </xf>
    <xf numFmtId="1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3" fontId="5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3" fontId="5" fillId="0" borderId="0" xfId="57" applyNumberFormat="1" applyFont="1" applyAlignment="1">
      <alignment horizontal="right"/>
      <protection/>
    </xf>
    <xf numFmtId="3" fontId="5" fillId="0" borderId="0" xfId="57" applyNumberFormat="1" applyFont="1" applyAlignment="1">
      <alignment horizontal="center"/>
      <protection/>
    </xf>
    <xf numFmtId="3" fontId="4" fillId="0" borderId="0" xfId="57" applyNumberFormat="1" applyFont="1" applyBorder="1">
      <alignment/>
      <protection/>
    </xf>
    <xf numFmtId="3" fontId="5" fillId="33" borderId="0" xfId="57" applyNumberFormat="1" applyFont="1" applyFill="1" applyAlignment="1">
      <alignment horizontal="center"/>
      <protection/>
    </xf>
    <xf numFmtId="3" fontId="5" fillId="0" borderId="0" xfId="57" applyNumberFormat="1" applyFont="1" applyFill="1" applyBorder="1" applyAlignment="1">
      <alignment horizontal="center"/>
      <protection/>
    </xf>
    <xf numFmtId="3" fontId="5" fillId="33" borderId="10" xfId="57" applyNumberFormat="1" applyFont="1" applyFill="1" applyBorder="1" applyAlignment="1">
      <alignment horizontal="center"/>
      <protection/>
    </xf>
    <xf numFmtId="3" fontId="5" fillId="0" borderId="10" xfId="57" applyNumberFormat="1" applyFont="1" applyFill="1" applyBorder="1" applyAlignment="1">
      <alignment horizontal="center"/>
      <protection/>
    </xf>
    <xf numFmtId="3" fontId="4" fillId="0" borderId="0" xfId="57" applyNumberFormat="1" applyFont="1" applyFill="1">
      <alignment/>
      <protection/>
    </xf>
    <xf numFmtId="3" fontId="5" fillId="0" borderId="0" xfId="57" applyNumberFormat="1" applyFont="1" applyFill="1" applyAlignment="1">
      <alignment horizontal="center"/>
      <protection/>
    </xf>
    <xf numFmtId="3" fontId="4" fillId="0" borderId="11" xfId="57" applyNumberFormat="1" applyFont="1" applyBorder="1">
      <alignment/>
      <protection/>
    </xf>
    <xf numFmtId="3" fontId="4" fillId="0" borderId="10" xfId="57" applyNumberFormat="1" applyFont="1" applyFill="1" applyBorder="1">
      <alignment/>
      <protection/>
    </xf>
    <xf numFmtId="3" fontId="4" fillId="0" borderId="10" xfId="57" applyNumberFormat="1" applyFont="1" applyBorder="1">
      <alignment/>
      <protection/>
    </xf>
    <xf numFmtId="3" fontId="4" fillId="0" borderId="12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69"/>
  <sheetViews>
    <sheetView zoomScalePageLayoutView="0" workbookViewId="0" topLeftCell="A1">
      <pane xSplit="1" ySplit="6" topLeftCell="E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A28" sqref="A28"/>
    </sheetView>
  </sheetViews>
  <sheetFormatPr defaultColWidth="9.140625" defaultRowHeight="12.75" outlineLevelRow="1"/>
  <cols>
    <col min="1" max="1" width="22.57421875" style="2" customWidth="1"/>
    <col min="2" max="2" width="10.57421875" style="2" customWidth="1"/>
    <col min="3" max="3" width="9.8515625" style="2" bestFit="1" customWidth="1"/>
    <col min="4" max="4" width="10.57421875" style="2" customWidth="1"/>
    <col min="5" max="5" width="10.28125" style="2" customWidth="1"/>
    <col min="6" max="6" width="9.7109375" style="2" customWidth="1"/>
    <col min="7" max="7" width="10.57421875" style="2" customWidth="1"/>
    <col min="8" max="8" width="11.140625" style="2" customWidth="1"/>
    <col min="9" max="9" width="10.140625" style="2" customWidth="1"/>
    <col min="10" max="13" width="9.7109375" style="2" customWidth="1"/>
    <col min="14" max="15" width="10.140625" style="2" customWidth="1"/>
    <col min="16" max="16" width="9.7109375" style="2" customWidth="1"/>
    <col min="17" max="17" width="10.00390625" style="2" bestFit="1" customWidth="1"/>
    <col min="18" max="18" width="9.57421875" style="2" bestFit="1" customWidth="1"/>
    <col min="19" max="16384" width="9.140625" style="2" customWidth="1"/>
  </cols>
  <sheetData>
    <row r="1" spans="1:18" ht="11.25">
      <c r="A1" s="8" t="s">
        <v>76</v>
      </c>
      <c r="H1" s="13"/>
      <c r="Q1" s="32" t="s">
        <v>41</v>
      </c>
      <c r="R1" s="27"/>
    </row>
    <row r="2" spans="1:18" ht="11.25">
      <c r="A2" s="1" t="s">
        <v>0</v>
      </c>
      <c r="R2" s="27"/>
    </row>
    <row r="3" spans="16:18" ht="11.25">
      <c r="P3" s="12"/>
      <c r="Q3" s="27" t="s">
        <v>33</v>
      </c>
      <c r="R3" s="27"/>
    </row>
    <row r="4" spans="1:18" ht="11.25">
      <c r="A4" s="14" t="s">
        <v>38</v>
      </c>
      <c r="B4" s="3"/>
      <c r="C4" s="3"/>
      <c r="D4" s="3"/>
      <c r="E4" s="3"/>
      <c r="F4" s="3"/>
      <c r="G4" s="3"/>
      <c r="H4" s="3" t="s">
        <v>1</v>
      </c>
      <c r="I4" s="3"/>
      <c r="J4" s="3"/>
      <c r="K4" s="3"/>
      <c r="L4" s="41" t="s">
        <v>77</v>
      </c>
      <c r="M4" s="41" t="s">
        <v>75</v>
      </c>
      <c r="N4" s="3"/>
      <c r="O4" s="3"/>
      <c r="P4" s="18" t="s">
        <v>29</v>
      </c>
      <c r="Q4" s="41" t="s">
        <v>77</v>
      </c>
      <c r="R4" s="41" t="s">
        <v>75</v>
      </c>
    </row>
    <row r="5" spans="2:18" ht="11.25">
      <c r="B5" s="3" t="s">
        <v>2</v>
      </c>
      <c r="C5" s="3"/>
      <c r="D5" s="3" t="s">
        <v>3</v>
      </c>
      <c r="E5" s="3"/>
      <c r="F5" s="3"/>
      <c r="G5" s="3"/>
      <c r="H5" s="3" t="s">
        <v>4</v>
      </c>
      <c r="I5" s="3" t="s">
        <v>5</v>
      </c>
      <c r="J5" s="3"/>
      <c r="K5" s="3"/>
      <c r="L5" s="41" t="s">
        <v>74</v>
      </c>
      <c r="M5" s="41" t="s">
        <v>74</v>
      </c>
      <c r="N5" s="3"/>
      <c r="O5" s="3" t="s">
        <v>6</v>
      </c>
      <c r="P5" s="18" t="s">
        <v>30</v>
      </c>
      <c r="Q5" s="33" t="s">
        <v>44</v>
      </c>
      <c r="R5" s="3" t="s">
        <v>7</v>
      </c>
    </row>
    <row r="6" spans="2:18" ht="11.25"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10</v>
      </c>
      <c r="I6" s="4" t="s">
        <v>15</v>
      </c>
      <c r="J6" s="4" t="s">
        <v>26</v>
      </c>
      <c r="K6" s="34" t="s">
        <v>79</v>
      </c>
      <c r="L6" s="41" t="s">
        <v>73</v>
      </c>
      <c r="M6" s="41" t="s">
        <v>73</v>
      </c>
      <c r="N6" s="4" t="s">
        <v>14</v>
      </c>
      <c r="O6" s="4" t="s">
        <v>16</v>
      </c>
      <c r="P6" s="25" t="s">
        <v>10</v>
      </c>
      <c r="Q6" s="34" t="s">
        <v>8</v>
      </c>
      <c r="R6" s="31" t="s">
        <v>8</v>
      </c>
    </row>
    <row r="7" spans="1:18" s="7" customFormat="1" ht="11.25">
      <c r="A7" s="5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>
      <c r="A8" s="8" t="s">
        <v>18</v>
      </c>
      <c r="B8" s="2">
        <f aca="true" t="shared" si="0" ref="B8:R8">SUM(B9:B13)</f>
        <v>11605668.82034</v>
      </c>
      <c r="C8" s="2">
        <f t="shared" si="0"/>
        <v>60398789.638008</v>
      </c>
      <c r="D8" s="2">
        <f t="shared" si="0"/>
        <v>18204033.37756</v>
      </c>
      <c r="E8" s="2">
        <f t="shared" si="0"/>
        <v>8816868.853403</v>
      </c>
      <c r="F8" s="2">
        <f t="shared" si="0"/>
        <v>6422060.137175999</v>
      </c>
      <c r="G8" s="2">
        <f t="shared" si="0"/>
        <v>15493610.47192</v>
      </c>
      <c r="H8" s="2">
        <f t="shared" si="0"/>
        <v>2902406.744244</v>
      </c>
      <c r="I8" s="2">
        <f t="shared" si="0"/>
        <v>9284335.305430999</v>
      </c>
      <c r="J8" s="2">
        <f t="shared" si="0"/>
        <v>0</v>
      </c>
      <c r="K8" s="2">
        <f t="shared" si="0"/>
        <v>115065.47</v>
      </c>
      <c r="L8" s="2">
        <f t="shared" si="0"/>
        <v>133242838.81808199</v>
      </c>
      <c r="M8" s="2">
        <f t="shared" si="0"/>
        <v>134037883</v>
      </c>
      <c r="N8" s="2">
        <f>SUM(N9:N13)</f>
        <v>385424.6552009999</v>
      </c>
      <c r="O8" s="2">
        <f>SUM(O9:O13)</f>
        <v>5037153.675439999</v>
      </c>
      <c r="P8" s="2">
        <f>SUM(P9:P13)</f>
        <v>9651188.146523999</v>
      </c>
      <c r="Q8" s="2">
        <f t="shared" si="0"/>
        <v>148316605.295247</v>
      </c>
      <c r="R8" s="2">
        <f t="shared" si="0"/>
        <v>149228628</v>
      </c>
    </row>
    <row r="9" spans="1:18" s="7" customFormat="1" ht="11.25" customHeight="1" outlineLevel="1">
      <c r="A9" s="7" t="s">
        <v>19</v>
      </c>
      <c r="B9" s="7">
        <f>SUM(Research!B9+Instruction!B9+Extension!B9)</f>
        <v>10092359.8</v>
      </c>
      <c r="C9" s="7">
        <f>SUM(Research!C9+Instruction!C9+Extension!C9)</f>
        <v>49980371.25</v>
      </c>
      <c r="D9" s="7">
        <f>SUM(Research!D9+Instruction!D9+Extension!D9)</f>
        <v>16629684.61</v>
      </c>
      <c r="E9" s="7">
        <f>SUM(Research!E9+Instruction!E9+Extension!E9)</f>
        <v>8731657.15</v>
      </c>
      <c r="F9" s="7">
        <f>SUM(Research!F9+Instruction!F9+Extension!F9)</f>
        <v>5415931.4799999995</v>
      </c>
      <c r="G9" s="7">
        <f>SUM(Research!G9+Instruction!G9+Extension!G9)</f>
        <v>12853679.17</v>
      </c>
      <c r="H9" s="7">
        <f>SUM(Research!H9+Instruction!H9+Extension!H9)</f>
        <v>1742837.77</v>
      </c>
      <c r="I9" s="7">
        <f>SUM(Research!I9+Instruction!I9+Extension!I9)</f>
        <v>8079556.300000001</v>
      </c>
      <c r="J9" s="7">
        <f>SUM(Research!J9+Instruction!J9+Extension!J9)</f>
        <v>0</v>
      </c>
      <c r="K9" s="7">
        <f>Research!K9+Instruction!K9+Extension!K9</f>
        <v>8957.54</v>
      </c>
      <c r="L9" s="7">
        <f>Research!L9+Instruction!L9+Extension!L9</f>
        <v>113535035.07</v>
      </c>
      <c r="M9" s="7">
        <f>Research!M9+Instruction!M9+Extension!M9</f>
        <v>114551126</v>
      </c>
      <c r="N9" s="7">
        <f>SUM(Research!N9+Instruction!N9+Extension!N9)</f>
        <v>0</v>
      </c>
      <c r="O9" s="7">
        <f>SUM(Research!O9+Instruction!O9+Extension!O9)</f>
        <v>0</v>
      </c>
      <c r="P9" s="7">
        <f>SUM(Research!P9+Instruction!P9+Extension!P9)</f>
        <v>7613044.199999999</v>
      </c>
      <c r="Q9" s="7">
        <f>L9+N9+O9+P9</f>
        <v>121148079.27</v>
      </c>
      <c r="R9" s="7">
        <f>Research!R9+Instruction!R9+Extension!R9</f>
        <v>121441550</v>
      </c>
    </row>
    <row r="10" spans="1:18" s="7" customFormat="1" ht="11.25" customHeight="1" outlineLevel="1">
      <c r="A10" s="7" t="s">
        <v>20</v>
      </c>
      <c r="B10" s="7">
        <f>SUM(Research!B10+Instruction!B10+Extension!B10)</f>
        <v>33265.43</v>
      </c>
      <c r="C10" s="7">
        <f>SUM(Research!C10+Instruction!C10+Extension!C10)</f>
        <v>608246.48</v>
      </c>
      <c r="D10" s="7">
        <f>SUM(Research!D10+Instruction!D10+Extension!D10)</f>
        <v>307214.38999999996</v>
      </c>
      <c r="E10" s="7">
        <f>SUM(Research!E10+Instruction!E10+Extension!E10)</f>
        <v>0</v>
      </c>
      <c r="F10" s="7">
        <f>SUM(Research!F10+Instruction!F10+Extension!F10)</f>
        <v>275736.18</v>
      </c>
      <c r="G10" s="7">
        <f>SUM(Research!G10+Instruction!G10+Extension!G10)</f>
        <v>397641.24</v>
      </c>
      <c r="H10" s="7">
        <f>SUM(Research!H10+Instruction!H10+Extension!H10)</f>
        <v>67485.81999999999</v>
      </c>
      <c r="I10" s="7">
        <f>SUM(Research!I10+Instruction!I10+Extension!I10)</f>
        <v>345345.86</v>
      </c>
      <c r="J10" s="7">
        <f>SUM(Research!J10+Instruction!J10+Extension!J10)</f>
        <v>0</v>
      </c>
      <c r="K10" s="7">
        <f>Research!K10+Instruction!K10+Extension!K10</f>
        <v>0</v>
      </c>
      <c r="L10" s="7">
        <f>Research!L10+Instruction!L10+Extension!L10</f>
        <v>2034935.4</v>
      </c>
      <c r="M10" s="7">
        <f>Research!M10+Instruction!M10+Extension!M10</f>
        <v>1847900</v>
      </c>
      <c r="N10" s="7">
        <f>SUM(Research!N10+Instruction!N10+Extension!N10)</f>
        <v>0</v>
      </c>
      <c r="O10" s="7">
        <f>SUM(Research!O10+Instruction!O10+Extension!O10)</f>
        <v>0</v>
      </c>
      <c r="P10" s="7">
        <f>SUM(Research!P10+Instruction!P10+Extension!P10)</f>
        <v>831339.61</v>
      </c>
      <c r="Q10" s="7">
        <f>L10+N10+O10+P10</f>
        <v>2866275.01</v>
      </c>
      <c r="R10" s="7">
        <f>Research!R10+Instruction!R10+Extension!R10</f>
        <v>2467332</v>
      </c>
    </row>
    <row r="11" spans="1:18" ht="11.25" outlineLevel="1">
      <c r="A11" s="2" t="s">
        <v>21</v>
      </c>
      <c r="B11" s="2">
        <f>SUM(Research!B11+Instruction!B11+Extension!B11)</f>
        <v>-45700.67</v>
      </c>
      <c r="C11" s="2">
        <f>SUM(Research!C11+Instruction!C11+Extension!C11)</f>
        <v>6541443.63</v>
      </c>
      <c r="D11" s="2">
        <f>SUM(Research!D11+Instruction!D11+Extension!D11)</f>
        <v>0</v>
      </c>
      <c r="E11" s="2">
        <f>SUM(Research!E11+Instruction!E11+Extension!E11)</f>
        <v>0</v>
      </c>
      <c r="F11" s="2">
        <f>SUM(Research!F11+Instruction!F11+Extension!F11)</f>
        <v>0</v>
      </c>
      <c r="G11" s="2">
        <f>SUM(Research!G11+Instruction!G11+Extension!G11)</f>
        <v>0</v>
      </c>
      <c r="H11" s="2">
        <f>SUM(Research!H11+Instruction!H11+Extension!H11)</f>
        <v>0</v>
      </c>
      <c r="I11" s="2">
        <f>SUM(Research!I11+Instruction!I11+Extension!I11)</f>
        <v>0</v>
      </c>
      <c r="J11" s="2">
        <f>SUM(Research!J11+Instruction!J11+Extension!J11)</f>
        <v>0</v>
      </c>
      <c r="K11" s="7">
        <f>Research!K11+Instruction!K11+Extension!K11</f>
        <v>0</v>
      </c>
      <c r="L11" s="7">
        <f>Research!L11+Instruction!L11+Extension!L11</f>
        <v>6495742.96</v>
      </c>
      <c r="M11" s="7">
        <f>Research!M11+Instruction!M11+Extension!M11</f>
        <v>5966440</v>
      </c>
      <c r="N11" s="2">
        <f>SUM(Research!N11+Instruction!N11+Extension!N11)</f>
        <v>0</v>
      </c>
      <c r="O11" s="2">
        <f>SUM(Research!O11+Instruction!O11+Extension!O11)</f>
        <v>0</v>
      </c>
      <c r="P11" s="2">
        <f>SUM(Research!P11+Instruction!P11+Extension!P11)</f>
        <v>0</v>
      </c>
      <c r="Q11" s="7">
        <f>L11+N11+O11+P11</f>
        <v>6495742.96</v>
      </c>
      <c r="R11" s="7">
        <f>Research!R11+Instruction!R11+Extension!R11</f>
        <v>5966440</v>
      </c>
    </row>
    <row r="12" spans="1:18" ht="11.25" outlineLevel="1">
      <c r="A12" s="2" t="s">
        <v>72</v>
      </c>
      <c r="B12" s="2">
        <f>SUM(Research!B12+Instruction!B12+Extension!B12)</f>
        <v>1509137.01034</v>
      </c>
      <c r="C12" s="2">
        <f>SUM(Research!C12+Instruction!C12+Extension!C12)</f>
        <v>3030662.828008</v>
      </c>
      <c r="D12" s="2">
        <f>SUM(Research!D12+Instruction!D12+Extension!D12)</f>
        <v>1114056.71756</v>
      </c>
      <c r="E12" s="2">
        <f>SUM(Research!E12+Instruction!E12+Extension!E12)</f>
        <v>85211.70340299999</v>
      </c>
      <c r="F12" s="2">
        <f>SUM(Research!F12+Instruction!F12+Extension!F12)</f>
        <v>593627.4171760001</v>
      </c>
      <c r="G12" s="2">
        <f>SUM(Research!G12+Instruction!G12+Extension!G12)</f>
        <v>2046322.9419200001</v>
      </c>
      <c r="H12" s="2">
        <f>SUM(Research!H12+Instruction!H12+Extension!H12)</f>
        <v>1058399.394244</v>
      </c>
      <c r="I12" s="2">
        <f>SUM(Research!I12+Instruction!I12+Extension!I12)</f>
        <v>688141.5254309999</v>
      </c>
      <c r="J12" s="2">
        <f>SUM(Research!J12+Instruction!J12+Extension!J12)</f>
        <v>0</v>
      </c>
      <c r="K12" s="7">
        <f>Research!K12+Instruction!K12+Extension!K12</f>
        <v>106107.93</v>
      </c>
      <c r="L12" s="7">
        <f>Research!L12+Instruction!L12+Extension!L12</f>
        <v>10231667.468082</v>
      </c>
      <c r="M12" s="7">
        <f>Research!M12+Instruction!M12+Extension!M12</f>
        <v>10840293</v>
      </c>
      <c r="N12" s="2">
        <f>SUM(Research!N12+Instruction!N12+Extension!N12)</f>
        <v>385424.6552009999</v>
      </c>
      <c r="O12" s="2">
        <f>SUM(Research!O12+Instruction!O12+Extension!O12)</f>
        <v>5037153.675439999</v>
      </c>
      <c r="P12" s="2">
        <f>SUM(Research!P12+Instruction!P12+Extension!P12)</f>
        <v>977354.7765240001</v>
      </c>
      <c r="Q12" s="7">
        <f>L12+N12+O12+P12</f>
        <v>16631600.575246997</v>
      </c>
      <c r="R12" s="7">
        <f>Research!R12+Instruction!R12+Extension!R12</f>
        <v>18350219</v>
      </c>
    </row>
    <row r="13" spans="1:18" ht="11.25" outlineLevel="1">
      <c r="A13" s="15" t="s">
        <v>36</v>
      </c>
      <c r="B13" s="2">
        <f>SUM(Research!B13+Instruction!B13+Extension!B13)</f>
        <v>16607.25</v>
      </c>
      <c r="C13" s="7">
        <f>SUM(Research!C13+Instruction!C13+Extension!C13)</f>
        <v>238065.45</v>
      </c>
      <c r="D13" s="2">
        <f>SUM(Research!D13+Instruction!D13+Extension!D13)</f>
        <v>153077.66</v>
      </c>
      <c r="E13" s="2">
        <f>SUM(Research!E13+Instruction!E13+Extension!E13)</f>
        <v>0</v>
      </c>
      <c r="F13" s="2">
        <f>SUM(Research!F13+Instruction!F13+Extension!F13)</f>
        <v>136765.06</v>
      </c>
      <c r="G13" s="2">
        <f>SUM(Research!G13+Instruction!G13+Extension!G13)</f>
        <v>195967.12</v>
      </c>
      <c r="H13" s="2">
        <f>SUM(Research!H13+Instruction!H13+Extension!H13)</f>
        <v>33683.76</v>
      </c>
      <c r="I13" s="2">
        <f>SUM(Research!I13+Instruction!I13+Extension!I13)</f>
        <v>171291.62</v>
      </c>
      <c r="J13" s="2">
        <f>SUM(Research!J13+Instruction!J13+Extension!J13)</f>
        <v>0</v>
      </c>
      <c r="K13" s="7">
        <f>Research!K13+Instruction!K13+Extension!K13</f>
        <v>0</v>
      </c>
      <c r="L13" s="7">
        <f>Research!L13+Instruction!L13+Extension!L13</f>
        <v>945457.92</v>
      </c>
      <c r="M13" s="7">
        <f>Research!M13+Instruction!M13+Extension!M13</f>
        <v>832124</v>
      </c>
      <c r="N13" s="2">
        <f>SUM(Research!N13+Instruction!N13+Extension!N13)</f>
        <v>0</v>
      </c>
      <c r="O13" s="2">
        <f>SUM(Research!O13+Instruction!O13+Extension!O13)</f>
        <v>0</v>
      </c>
      <c r="P13" s="2">
        <f>SUM(Research!P13+Instruction!P13+Extension!P13)</f>
        <v>229449.56</v>
      </c>
      <c r="Q13" s="7">
        <f>L13+N13+O13+P13</f>
        <v>1174907.48</v>
      </c>
      <c r="R13" s="7">
        <f>Research!R13+Instruction!R13+Extension!R13</f>
        <v>1003087</v>
      </c>
    </row>
    <row r="15" spans="1:18" ht="11.25">
      <c r="A15" s="1" t="s">
        <v>25</v>
      </c>
      <c r="B15" s="2">
        <f aca="true" t="shared" si="1" ref="B15:R15">SUM(B16:B18)</f>
        <v>591303.0099999999</v>
      </c>
      <c r="C15" s="2">
        <f t="shared" si="1"/>
        <v>2645995.51</v>
      </c>
      <c r="D15" s="2">
        <f t="shared" si="1"/>
        <v>1254017.61</v>
      </c>
      <c r="E15" s="2">
        <f t="shared" si="1"/>
        <v>163557.71</v>
      </c>
      <c r="F15" s="2">
        <f t="shared" si="1"/>
        <v>606123.48</v>
      </c>
      <c r="G15" s="2">
        <f t="shared" si="1"/>
        <v>2639741.9000000004</v>
      </c>
      <c r="H15" s="2">
        <f t="shared" si="1"/>
        <v>619650.57</v>
      </c>
      <c r="I15" s="2">
        <f t="shared" si="1"/>
        <v>2981327.9599999995</v>
      </c>
      <c r="J15" s="2">
        <f t="shared" si="1"/>
        <v>0</v>
      </c>
      <c r="K15" s="2">
        <f t="shared" si="1"/>
        <v>11662</v>
      </c>
      <c r="L15" s="2">
        <f t="shared" si="1"/>
        <v>11513379.750000002</v>
      </c>
      <c r="M15" s="2">
        <f t="shared" si="1"/>
        <v>12289427</v>
      </c>
      <c r="N15" s="2">
        <f>SUM(N16:N18)</f>
        <v>221876.96</v>
      </c>
      <c r="O15" s="2">
        <f>SUM(O16:O18)</f>
        <v>334000.67</v>
      </c>
      <c r="P15" s="2">
        <f>SUM(P16:P18)</f>
        <v>1720395.47</v>
      </c>
      <c r="Q15" s="2">
        <f t="shared" si="1"/>
        <v>13789652.850000001</v>
      </c>
      <c r="R15" s="2">
        <f t="shared" si="1"/>
        <v>15990043</v>
      </c>
    </row>
    <row r="16" spans="1:18" ht="11.25" outlineLevel="1">
      <c r="A16" s="2" t="s">
        <v>22</v>
      </c>
      <c r="B16" s="2">
        <f>SUM(Research!B17+Instruction!B17+Extension!B17)</f>
        <v>587647.44</v>
      </c>
      <c r="C16" s="2">
        <f>SUM(Research!C17+Instruction!C17+Extension!C17)</f>
        <v>2366199.23</v>
      </c>
      <c r="D16" s="2">
        <f>SUM(Research!D17+Instruction!D17+Extension!D17)</f>
        <v>1080760.56</v>
      </c>
      <c r="E16" s="2">
        <f>SUM(Research!E17+Instruction!E17+Extension!E17)</f>
        <v>121570.29</v>
      </c>
      <c r="F16" s="2">
        <f>SUM(Research!F17+Instruction!F17+Extension!F17)</f>
        <v>574068.1699999999</v>
      </c>
      <c r="G16" s="2">
        <f>SUM(Research!G17+Instruction!G17+Extension!G17)</f>
        <v>2094236.4200000002</v>
      </c>
      <c r="H16" s="2">
        <f>SUM(Research!H17+Instruction!H17+Extension!H17)</f>
        <v>572845.85</v>
      </c>
      <c r="I16" s="2">
        <f>SUM(Research!I17+Instruction!I17+Extension!I17)</f>
        <v>2639617.6599999997</v>
      </c>
      <c r="J16" s="2">
        <f>SUM(Research!J17+Instruction!J17+Extension!J17)</f>
        <v>0</v>
      </c>
      <c r="K16" s="7">
        <f>Research!K17+Instruction!K17+Extension!K17</f>
        <v>0</v>
      </c>
      <c r="L16" s="7">
        <f>Research!L17+Instruction!L17+Extension!L17</f>
        <v>10036945.620000001</v>
      </c>
      <c r="M16" s="7">
        <f>Research!M17+Instruction!M17+Extension!M17</f>
        <v>10889461</v>
      </c>
      <c r="N16" s="2">
        <f>SUM(Research!N17+Instruction!N17+Extension!N17)</f>
        <v>221876.96</v>
      </c>
      <c r="O16" s="2">
        <f>SUM(Research!O17+Instruction!O17+Extension!O17)</f>
        <v>332356.87</v>
      </c>
      <c r="P16" s="2">
        <f>SUM(Research!P17+Instruction!P17+Extension!P17)</f>
        <v>1681169.59</v>
      </c>
      <c r="Q16" s="7">
        <f>L16+N16+O16+P16</f>
        <v>12272349.040000001</v>
      </c>
      <c r="R16" s="7">
        <f>Research!R17+Instruction!R17+Extension!R17</f>
        <v>14568617</v>
      </c>
    </row>
    <row r="17" spans="1:18" ht="11.25" outlineLevel="1">
      <c r="A17" s="2" t="s">
        <v>80</v>
      </c>
      <c r="B17" s="2">
        <f>SUM(Research!B18+Instruction!B18+Extension!B18)</f>
        <v>0</v>
      </c>
      <c r="C17" s="2">
        <f>SUM(Research!C18+Instruction!C18+Extension!C18)</f>
        <v>0</v>
      </c>
      <c r="D17" s="2">
        <f>SUM(Research!D18+Instruction!D18+Extension!D18)</f>
        <v>0</v>
      </c>
      <c r="E17" s="2">
        <f>SUM(Research!E18+Instruction!E18+Extension!E18)</f>
        <v>0</v>
      </c>
      <c r="F17" s="2">
        <f>SUM(Research!F18+Instruction!F18+Extension!F18)</f>
        <v>0</v>
      </c>
      <c r="G17" s="2">
        <f>SUM(Research!G18+Instruction!G18+Extension!G18)</f>
        <v>0</v>
      </c>
      <c r="H17" s="2">
        <f>SUM(Research!H18+Instruction!H18+Extension!H18)</f>
        <v>0</v>
      </c>
      <c r="I17" s="2">
        <f>SUM(Research!I18+Instruction!I18+Extension!I18)</f>
        <v>0</v>
      </c>
      <c r="J17" s="2">
        <f>SUM(Research!J18+Instruction!J18+Extension!J18)</f>
        <v>0</v>
      </c>
      <c r="K17" s="7">
        <f>Research!K18+Instruction!K18+Extension!K18</f>
        <v>8812</v>
      </c>
      <c r="L17" s="7">
        <f>Research!L18+Instruction!L18+Extension!L18</f>
        <v>8812</v>
      </c>
      <c r="M17" s="7">
        <f>Research!M18+Instruction!M18+Extension!M18</f>
        <v>50000</v>
      </c>
      <c r="N17" s="2">
        <f>SUM(Research!N18+Instruction!N18+Extension!N18)</f>
        <v>0</v>
      </c>
      <c r="O17" s="2">
        <f>SUM(Research!O18+Instruction!O18+Extension!O18)</f>
        <v>0</v>
      </c>
      <c r="P17" s="2">
        <f>SUM(Research!P18+Instruction!P18+Extension!P18)</f>
        <v>0</v>
      </c>
      <c r="Q17" s="7">
        <f>L17+N17+O17+P17</f>
        <v>8812</v>
      </c>
      <c r="R17" s="7">
        <f>Research!R18+Instruction!R18+Extension!R18</f>
        <v>50000</v>
      </c>
    </row>
    <row r="18" spans="1:18" ht="11.25" outlineLevel="1">
      <c r="A18" s="15" t="s">
        <v>37</v>
      </c>
      <c r="B18" s="2">
        <f>SUM(Research!B19+Instruction!B19+Extension!B19)</f>
        <v>3655.57</v>
      </c>
      <c r="C18" s="2">
        <f>SUM(Research!C19+Instruction!C19+Extension!C19)</f>
        <v>279796.28</v>
      </c>
      <c r="D18" s="2">
        <f>SUM(Research!D19+Instruction!D19+Extension!D19)</f>
        <v>173257.05</v>
      </c>
      <c r="E18" s="2">
        <f>SUM(Research!E19+Instruction!E19+Extension!E19)</f>
        <v>41987.42</v>
      </c>
      <c r="F18" s="2">
        <f>SUM(Research!F19+Instruction!F19+Extension!F19)</f>
        <v>32055.309999999998</v>
      </c>
      <c r="G18" s="2">
        <f>SUM(Research!G19+Instruction!G19+Extension!G19)</f>
        <v>545505.48</v>
      </c>
      <c r="H18" s="2">
        <f>SUM(Research!H19+Instruction!H19+Extension!H19)</f>
        <v>46804.72</v>
      </c>
      <c r="I18" s="2">
        <f>SUM(Research!I19+Instruction!I19+Extension!I19)</f>
        <v>341710.3</v>
      </c>
      <c r="J18" s="2">
        <f>SUM(Research!J19+Instruction!J19+Extension!J19)</f>
        <v>0</v>
      </c>
      <c r="K18" s="7">
        <f>Research!K19+Instruction!K19+Extension!K19</f>
        <v>2850</v>
      </c>
      <c r="L18" s="7">
        <f>Research!L19+Instruction!L19+Extension!L19</f>
        <v>1467622.1300000001</v>
      </c>
      <c r="M18" s="7">
        <f>Research!M19+Instruction!M19+Extension!M19</f>
        <v>1349966</v>
      </c>
      <c r="N18" s="2">
        <f>SUM(Research!N19+Instruction!N19+Extension!N19)</f>
        <v>0</v>
      </c>
      <c r="O18" s="2">
        <f>SUM(Research!O19+Instruction!O19+Extension!O19)</f>
        <v>1643.8</v>
      </c>
      <c r="P18" s="2">
        <f>SUM(Research!P19+Instruction!P19+Extension!P19)</f>
        <v>39225.88</v>
      </c>
      <c r="Q18" s="7">
        <f>L18+N18+O18+P18</f>
        <v>1508491.81</v>
      </c>
      <c r="R18" s="7">
        <f>Research!R19+Instruction!R19+Extension!R19</f>
        <v>1371426</v>
      </c>
    </row>
    <row r="20" spans="1:18" ht="11.25">
      <c r="A20" s="1" t="s">
        <v>23</v>
      </c>
      <c r="B20" s="2">
        <f aca="true" t="shared" si="2" ref="B20:R20">SUM(B21:B23)</f>
        <v>9402421.92</v>
      </c>
      <c r="C20" s="2">
        <f t="shared" si="2"/>
        <v>11169355.639999999</v>
      </c>
      <c r="D20" s="2">
        <f t="shared" si="2"/>
        <v>10703269.3</v>
      </c>
      <c r="E20" s="2">
        <f t="shared" si="2"/>
        <v>211487</v>
      </c>
      <c r="F20" s="2">
        <f t="shared" si="2"/>
        <v>1216325.29</v>
      </c>
      <c r="G20" s="2">
        <f t="shared" si="2"/>
        <v>9552636.13</v>
      </c>
      <c r="H20" s="2">
        <f t="shared" si="2"/>
        <v>5659441.46</v>
      </c>
      <c r="I20" s="2">
        <f t="shared" si="2"/>
        <v>4421690.090000001</v>
      </c>
      <c r="J20" s="2">
        <f t="shared" si="2"/>
        <v>0</v>
      </c>
      <c r="K20" s="2">
        <f t="shared" si="2"/>
        <v>9274229.64</v>
      </c>
      <c r="L20" s="2">
        <f t="shared" si="2"/>
        <v>61610856.46999999</v>
      </c>
      <c r="M20" s="2">
        <f t="shared" si="2"/>
        <v>62372546</v>
      </c>
      <c r="N20" s="2">
        <f>SUM(N21:N23)</f>
        <v>1222234.95</v>
      </c>
      <c r="O20" s="2">
        <f>SUM(O21:O23)</f>
        <v>19744534.34</v>
      </c>
      <c r="P20" s="2">
        <f>SUM(P21:P23)</f>
        <v>7565514.01</v>
      </c>
      <c r="Q20" s="2">
        <f t="shared" si="2"/>
        <v>90143139.77</v>
      </c>
      <c r="R20" s="2">
        <f t="shared" si="2"/>
        <v>90055944</v>
      </c>
    </row>
    <row r="21" spans="1:18" ht="11.25" outlineLevel="1">
      <c r="A21" s="2" t="s">
        <v>22</v>
      </c>
      <c r="B21" s="2">
        <f>SUM(Research!B22+Instruction!B22+Extension!B22)</f>
        <v>8906343.07</v>
      </c>
      <c r="C21" s="2">
        <f>SUM(Research!C22+Instruction!C22+Extension!C22)</f>
        <v>9244197.02</v>
      </c>
      <c r="D21" s="2">
        <f>SUM(Research!D22+Instruction!D22+Extension!D22)</f>
        <v>8668392.81</v>
      </c>
      <c r="E21" s="2">
        <f>SUM(Research!E22+Instruction!E22+Extension!E22)</f>
        <v>165739.14</v>
      </c>
      <c r="F21" s="2">
        <f>SUM(Research!F22+Instruction!F22+Extension!F22)</f>
        <v>990750.9199999999</v>
      </c>
      <c r="G21" s="2">
        <f>SUM(Research!G22+Instruction!G22+Extension!G22)</f>
        <v>7555484.07</v>
      </c>
      <c r="H21" s="2">
        <f>SUM(Research!H22+Instruction!H22+Extension!H22)</f>
        <v>4403871.25</v>
      </c>
      <c r="I21" s="2">
        <f>SUM(Research!I22+Instruction!I22+Extension!I22)</f>
        <v>3233829.6500000004</v>
      </c>
      <c r="J21" s="2">
        <f>SUM(Research!J22+Instruction!J22+Extension!J22)</f>
        <v>0</v>
      </c>
      <c r="K21" s="7">
        <f>Research!K22+Instruction!K22+Extension!K22</f>
        <v>0</v>
      </c>
      <c r="L21" s="7">
        <f>Research!L22+Instruction!L22+Extension!L22</f>
        <v>43168607.92999999</v>
      </c>
      <c r="M21" s="7">
        <f>Research!M22+Instruction!M22+Extension!M22</f>
        <v>48183841</v>
      </c>
      <c r="N21" s="2">
        <f>SUM(Research!N22+Instruction!N22+Extension!N22)</f>
        <v>974972.6799999999</v>
      </c>
      <c r="O21" s="2">
        <f>SUM(Research!O22+Instruction!O22+Extension!O22)</f>
        <v>18824256.23</v>
      </c>
      <c r="P21" s="2">
        <f>SUM(Research!P22+Instruction!P22+Extension!P22)</f>
        <v>6698075.29</v>
      </c>
      <c r="Q21" s="7">
        <f>L21+N21+O21+P21</f>
        <v>69665912.13</v>
      </c>
      <c r="R21" s="7">
        <f>Research!R22+Instruction!R22+Extension!R22</f>
        <v>74031560</v>
      </c>
    </row>
    <row r="22" spans="1:18" ht="11.25" outlineLevel="1">
      <c r="A22" s="2" t="s">
        <v>80</v>
      </c>
      <c r="B22" s="2">
        <f>SUM(Research!B23+Instruction!B23+Extension!B23)</f>
        <v>0</v>
      </c>
      <c r="C22" s="2">
        <f>SUM(Research!C23+Instruction!C23+Extension!C23)</f>
        <v>0</v>
      </c>
      <c r="D22" s="2">
        <f>SUM(Research!D23+Instruction!D23+Extension!D23)</f>
        <v>0</v>
      </c>
      <c r="E22" s="2">
        <f>SUM(Research!E23+Instruction!E23+Extension!E23)</f>
        <v>0</v>
      </c>
      <c r="F22" s="2">
        <f>SUM(Research!F23+Instruction!F23+Extension!F23)</f>
        <v>0</v>
      </c>
      <c r="G22" s="2">
        <f>SUM(Research!G23+Instruction!G23+Extension!G23)</f>
        <v>0</v>
      </c>
      <c r="H22" s="2">
        <f>SUM(Research!H23+Instruction!H23+Extension!H23)</f>
        <v>0</v>
      </c>
      <c r="I22" s="2">
        <f>SUM(Research!I23+Instruction!I23+Extension!I23)</f>
        <v>0</v>
      </c>
      <c r="J22" s="2">
        <f>SUM(Research!J23+Instruction!J23+Extension!J23)</f>
        <v>0</v>
      </c>
      <c r="K22" s="7">
        <f>Research!K23+Instruction!K23+Extension!K23</f>
        <v>7560822.43</v>
      </c>
      <c r="L22" s="7">
        <f>Research!L23+Instruction!L23+Extension!L23</f>
        <v>7560822.43</v>
      </c>
      <c r="M22" s="7">
        <f>Research!M23+Instruction!M23+Extension!M23</f>
        <v>4127926</v>
      </c>
      <c r="N22" s="2">
        <f>SUM(Research!N23+Instruction!N23+Extension!N23)</f>
        <v>0</v>
      </c>
      <c r="O22" s="2">
        <f>SUM(Research!O23+Instruction!O23+Extension!O23)</f>
        <v>0</v>
      </c>
      <c r="P22" s="2">
        <f>SUM(Research!P23+Instruction!P23+Extension!P23)</f>
        <v>0</v>
      </c>
      <c r="Q22" s="7">
        <f>L22+N22+O22+P22</f>
        <v>7560822.43</v>
      </c>
      <c r="R22" s="7">
        <f>Research!R23+Instruction!R23+Extension!R23</f>
        <v>4127926</v>
      </c>
    </row>
    <row r="23" spans="1:18" ht="11.25" outlineLevel="1">
      <c r="A23" s="15" t="s">
        <v>37</v>
      </c>
      <c r="B23" s="2">
        <f>SUM(Research!B24+Instruction!B24+Extension!B24)</f>
        <v>496078.85</v>
      </c>
      <c r="C23" s="2">
        <f>SUM(Research!C24+Instruction!C24+Extension!C24)</f>
        <v>1925158.6199999999</v>
      </c>
      <c r="D23" s="2">
        <f>SUM(Research!D24+Instruction!D24+Extension!D24)</f>
        <v>2034876.49</v>
      </c>
      <c r="E23" s="2">
        <f>SUM(Research!E24+Instruction!E24+Extension!E24)</f>
        <v>45747.86</v>
      </c>
      <c r="F23" s="2">
        <f>SUM(Research!F24+Instruction!F24+Extension!F24)</f>
        <v>225574.37</v>
      </c>
      <c r="G23" s="2">
        <f>SUM(Research!G24+Instruction!G24+Extension!G24)</f>
        <v>1997152.0599999998</v>
      </c>
      <c r="H23" s="2">
        <f>SUM(Research!H24+Instruction!H24+Extension!H24)</f>
        <v>1255570.21</v>
      </c>
      <c r="I23" s="2">
        <f>SUM(Research!I24+Instruction!I24+Extension!I24)</f>
        <v>1187860.4400000002</v>
      </c>
      <c r="J23" s="2">
        <f>SUM(Research!J24+Instruction!J24+Extension!J24)</f>
        <v>0</v>
      </c>
      <c r="K23" s="7">
        <f>Research!K24+Instruction!K24+Extension!K24</f>
        <v>1713407.21</v>
      </c>
      <c r="L23" s="7">
        <f>Research!L24+Instruction!L24+Extension!L24</f>
        <v>10881426.11</v>
      </c>
      <c r="M23" s="7">
        <f>Research!M24+Instruction!M24+Extension!M24</f>
        <v>10060779</v>
      </c>
      <c r="N23" s="2">
        <f>SUM(Research!N24+Instruction!N24+Extension!N24)</f>
        <v>247262.27000000002</v>
      </c>
      <c r="O23" s="2">
        <f>SUM(Research!O24+Instruction!O24+Extension!O24)</f>
        <v>920278.11</v>
      </c>
      <c r="P23" s="2">
        <f>SUM(Research!P24+Instruction!P24+Extension!P24)</f>
        <v>867438.72</v>
      </c>
      <c r="Q23" s="7">
        <f>L23+N23+O23+P23</f>
        <v>12916405.209999999</v>
      </c>
      <c r="R23" s="7">
        <f>Research!R24+Instruction!R24+Extension!R24</f>
        <v>11896458</v>
      </c>
    </row>
    <row r="25" spans="1:18" ht="11.25">
      <c r="A25" s="1" t="s">
        <v>24</v>
      </c>
      <c r="B25" s="2">
        <f aca="true" t="shared" si="3" ref="B25:M25">SUM(B26:B28)</f>
        <v>2262214.57</v>
      </c>
      <c r="C25" s="2">
        <f t="shared" si="3"/>
        <v>2618514.41</v>
      </c>
      <c r="D25" s="2">
        <f t="shared" si="3"/>
        <v>1059723.47</v>
      </c>
      <c r="E25" s="2">
        <f t="shared" si="3"/>
        <v>75118.66</v>
      </c>
      <c r="F25" s="2">
        <f t="shared" si="3"/>
        <v>117950.62</v>
      </c>
      <c r="G25" s="2">
        <f t="shared" si="3"/>
        <v>2470018.99</v>
      </c>
      <c r="H25" s="2">
        <f t="shared" si="3"/>
        <v>1424452.46</v>
      </c>
      <c r="I25" s="2">
        <f t="shared" si="3"/>
        <v>302967.30000000005</v>
      </c>
      <c r="J25" s="2">
        <f t="shared" si="3"/>
        <v>0</v>
      </c>
      <c r="K25" s="2">
        <f t="shared" si="3"/>
        <v>0</v>
      </c>
      <c r="L25" s="2">
        <f t="shared" si="3"/>
        <v>10330960.480000002</v>
      </c>
      <c r="M25" s="2">
        <f t="shared" si="3"/>
        <v>7878885</v>
      </c>
      <c r="N25" s="2">
        <f>SUM(N26:N28)</f>
        <v>27044.84</v>
      </c>
      <c r="O25" s="2">
        <f>SUM(O26:O28)</f>
        <v>83617.04</v>
      </c>
      <c r="P25" s="2">
        <f>SUM(P26:P28)</f>
        <v>2953565.3600000003</v>
      </c>
      <c r="Q25" s="2">
        <f>SUM(Q26:Q28)</f>
        <v>13395187.72</v>
      </c>
      <c r="R25" s="2">
        <f>SUM(R26:R28)</f>
        <v>10286803</v>
      </c>
    </row>
    <row r="26" spans="1:18" ht="11.25" outlineLevel="1">
      <c r="A26" s="2" t="s">
        <v>22</v>
      </c>
      <c r="B26" s="2">
        <f>SUM(Research!B27+Instruction!B27+Extension!B27)</f>
        <v>2095367.26</v>
      </c>
      <c r="C26" s="2">
        <f>SUM(Research!C27+Instruction!C27+Extension!C27)</f>
        <v>2616285.04</v>
      </c>
      <c r="D26" s="2">
        <f>SUM(Research!D27+Instruction!D27+Extension!D27)</f>
        <v>1018509.53</v>
      </c>
      <c r="E26" s="2">
        <f>SUM(Research!E27+Instruction!E27+Extension!E27)</f>
        <v>75118.66</v>
      </c>
      <c r="F26" s="2">
        <f>SUM(Research!F27+Instruction!F27+Extension!F27)</f>
        <v>117824.09999999999</v>
      </c>
      <c r="G26" s="2">
        <f>SUM(Research!G27+Instruction!G27+Extension!G27)</f>
        <v>2363591</v>
      </c>
      <c r="H26" s="2">
        <f>SUM(Research!H27+Instruction!H27+Extension!H27)</f>
        <v>1172476.98</v>
      </c>
      <c r="I26" s="2">
        <f>SUM(Research!I27+Instruction!I27+Extension!I27)</f>
        <v>302975.53</v>
      </c>
      <c r="J26" s="2">
        <f>SUM(Research!J27+Instruction!J27+Extension!J27)</f>
        <v>0</v>
      </c>
      <c r="K26" s="7">
        <f>Research!K27+Instruction!K27+Extension!K27</f>
        <v>0</v>
      </c>
      <c r="L26" s="7">
        <f>Research!L27+Instruction!L27+Extension!L27</f>
        <v>9762148.100000001</v>
      </c>
      <c r="M26" s="7">
        <f>Research!M27+Instruction!M27+Extension!M27</f>
        <v>7477660</v>
      </c>
      <c r="N26" s="2">
        <f>SUM(Research!N27+Instruction!N27+Extension!N27)</f>
        <v>27044.84</v>
      </c>
      <c r="O26" s="2">
        <f>SUM(Research!O27+Instruction!O27+Extension!O27)</f>
        <v>83617.04</v>
      </c>
      <c r="P26" s="2">
        <f>SUM(Research!P27+Instruction!P27+Extension!P27)</f>
        <v>2891762.0700000003</v>
      </c>
      <c r="Q26" s="7">
        <f>L26+N26+O26+P26</f>
        <v>12764572.05</v>
      </c>
      <c r="R26" s="7">
        <f>Research!R27+Instruction!R27+Extension!R27</f>
        <v>9843096</v>
      </c>
    </row>
    <row r="27" spans="1:18" ht="11.25" outlineLevel="1">
      <c r="A27" s="2" t="s">
        <v>80</v>
      </c>
      <c r="B27" s="2">
        <f>SUM(Research!B28+Instruction!B28+Extension!B28)</f>
        <v>0</v>
      </c>
      <c r="C27" s="2">
        <f>SUM(Research!C28+Instruction!C28+Extension!C28)</f>
        <v>0</v>
      </c>
      <c r="D27" s="2">
        <f>SUM(Research!D28+Instruction!D28+Extension!D28)</f>
        <v>0</v>
      </c>
      <c r="E27" s="2">
        <f>SUM(Research!E28+Instruction!E28+Extension!E28)</f>
        <v>0</v>
      </c>
      <c r="F27" s="2">
        <f>SUM(Research!F28+Instruction!F28+Extension!F28)</f>
        <v>0</v>
      </c>
      <c r="G27" s="2">
        <f>SUM(Research!G28+Instruction!G28+Extension!G28)</f>
        <v>0</v>
      </c>
      <c r="H27" s="2">
        <f>SUM(Research!H28+Instruction!H28+Extension!H28)</f>
        <v>0</v>
      </c>
      <c r="I27" s="2">
        <f>SUM(Research!I28+Instruction!I28+Extension!I28)</f>
        <v>0</v>
      </c>
      <c r="J27" s="2">
        <f>SUM(Research!J28+Instruction!J28+Extension!J28)</f>
        <v>0</v>
      </c>
      <c r="K27" s="7">
        <f>Research!K28+Instruction!K28+Extension!K28</f>
        <v>0</v>
      </c>
      <c r="L27" s="7">
        <f>Research!L28+Instruction!L28+Extension!L28</f>
        <v>0</v>
      </c>
      <c r="M27" s="7">
        <f>Research!M28+Instruction!M28+Extension!M28</f>
        <v>0</v>
      </c>
      <c r="N27" s="2">
        <f>SUM(Research!N28+Instruction!N28+Extension!N28)</f>
        <v>0</v>
      </c>
      <c r="O27" s="2">
        <f>SUM(Research!O28+Instruction!O28+Extension!O28)</f>
        <v>0</v>
      </c>
      <c r="P27" s="2">
        <f>SUM(Research!P28+Instruction!P28+Extension!P28)</f>
        <v>0</v>
      </c>
      <c r="Q27" s="7">
        <f>L27+N27+O27+P27</f>
        <v>0</v>
      </c>
      <c r="R27" s="7">
        <f>Research!R28+Instruction!R28+Extension!R28</f>
        <v>0</v>
      </c>
    </row>
    <row r="28" spans="1:18" ht="11.25" outlineLevel="1">
      <c r="A28" s="15" t="s">
        <v>37</v>
      </c>
      <c r="B28" s="2">
        <f>SUM(Research!B29+Instruction!B29+Extension!B29)</f>
        <v>166847.31</v>
      </c>
      <c r="C28" s="2">
        <f>SUM(Research!C29+Instruction!C29+Extension!C29)</f>
        <v>2229.37</v>
      </c>
      <c r="D28" s="2">
        <f>SUM(Research!D29+Instruction!D29+Extension!D29)</f>
        <v>41213.94</v>
      </c>
      <c r="E28" s="2">
        <f>SUM(Research!E29+Instruction!E29+Extension!E29)</f>
        <v>0</v>
      </c>
      <c r="F28" s="2">
        <f>SUM(Research!F29+Instruction!F29+Extension!F29)</f>
        <v>126.52000000000001</v>
      </c>
      <c r="G28" s="2">
        <f>SUM(Research!G29+Instruction!G29+Extension!G29)</f>
        <v>106427.98999999999</v>
      </c>
      <c r="H28" s="2">
        <f>SUM(Research!H29+Instruction!H29+Extension!H29)</f>
        <v>251975.48</v>
      </c>
      <c r="I28" s="2">
        <f>SUM(Research!I29+Instruction!I29+Extension!I29)</f>
        <v>-8.23</v>
      </c>
      <c r="J28" s="2">
        <f>SUM(Research!J29+Instruction!J29+Extension!J29)</f>
        <v>0</v>
      </c>
      <c r="K28" s="7">
        <f>Research!K29+Instruction!K29+Extension!K29</f>
        <v>0</v>
      </c>
      <c r="L28" s="7">
        <f>SUM(B28:K28)</f>
        <v>568812.38</v>
      </c>
      <c r="M28" s="7">
        <f>Research!M29+Instruction!M29+Extension!M29</f>
        <v>401225</v>
      </c>
      <c r="N28" s="2">
        <f>SUM(Research!N29+Instruction!N29+Extension!N29)</f>
        <v>0</v>
      </c>
      <c r="O28" s="2">
        <f>SUM(Research!O29+Instruction!O29+Extension!O29)</f>
        <v>0</v>
      </c>
      <c r="P28" s="2">
        <f>SUM(Research!P29+Instruction!P29+Extension!P29)</f>
        <v>61803.29</v>
      </c>
      <c r="Q28" s="7">
        <f>L28+N28+O28+P28</f>
        <v>630615.67</v>
      </c>
      <c r="R28" s="7">
        <f>Research!R29+Instruction!R29+Extension!R29</f>
        <v>443707</v>
      </c>
    </row>
    <row r="29" ht="11.25">
      <c r="Q29" s="7"/>
    </row>
    <row r="30" spans="1:18" ht="11.25">
      <c r="A30" s="1" t="s">
        <v>27</v>
      </c>
      <c r="B30" s="2">
        <f>SUM(Research!B31+Instruction!B31+Extension!B31)</f>
        <v>-617552.08</v>
      </c>
      <c r="C30" s="2">
        <f>SUM(Research!C31+Instruction!C31+Extension!C31)</f>
        <v>13489871.059999999</v>
      </c>
      <c r="D30" s="2">
        <f>SUM(Research!D31+Instruction!D31+Extension!D31)</f>
        <v>0</v>
      </c>
      <c r="E30" s="2">
        <f>SUM(Research!E31+Instruction!E31+Extension!E31)</f>
        <v>0</v>
      </c>
      <c r="F30" s="2">
        <f>SUM(Research!F31+Instruction!F31+Extension!F31)</f>
        <v>0</v>
      </c>
      <c r="G30" s="2">
        <f>SUM(Research!G31+Instruction!G31+Extension!G31)</f>
        <v>0</v>
      </c>
      <c r="H30" s="2">
        <f>SUM(Research!H31+Instruction!H31+Extension!H31)</f>
        <v>0</v>
      </c>
      <c r="I30" s="2">
        <f>SUM(Research!I31+Instruction!I31+Extension!I31)</f>
        <v>0</v>
      </c>
      <c r="J30" s="2">
        <f>SUM(Research!J31+Instruction!J31+Extension!J31)</f>
        <v>0</v>
      </c>
      <c r="K30" s="7">
        <f>Research!K31+Instruction!K31+Extension!K31</f>
        <v>0</v>
      </c>
      <c r="L30" s="7">
        <f>SUM(B30:K30)</f>
        <v>12872318.979999999</v>
      </c>
      <c r="M30" s="7">
        <f>Research!M31+Instruction!M31+Extension!M31</f>
        <v>14016870</v>
      </c>
      <c r="N30" s="2">
        <f>SUM(Research!N31+Instruction!N31+Extension!N31)</f>
        <v>0</v>
      </c>
      <c r="O30" s="2">
        <f>SUM(Research!O31+Instruction!O31+Extension!O31)</f>
        <v>0</v>
      </c>
      <c r="P30" s="2">
        <f>SUM(Research!P31+Instruction!P31+Extension!P31)</f>
        <v>0</v>
      </c>
      <c r="Q30" s="7">
        <f>L30+N30+O30+P30</f>
        <v>12872318.979999999</v>
      </c>
      <c r="R30" s="7">
        <f>Research!R31+Instruction!R31+Extension!R31</f>
        <v>14016870</v>
      </c>
    </row>
    <row r="31" spans="1:17" ht="11.25">
      <c r="A31" s="1"/>
      <c r="Q31" s="7"/>
    </row>
    <row r="32" spans="1:18" s="39" customFormat="1" ht="11.25">
      <c r="A32" s="38" t="s">
        <v>68</v>
      </c>
      <c r="B32" s="39">
        <f aca="true" t="shared" si="4" ref="B32:M32">((B18+B23+B28)/(B16+B17+B21+B22+B26+B27))</f>
        <v>0.057516710004889254</v>
      </c>
      <c r="C32" s="39">
        <f t="shared" si="4"/>
        <v>0.15514400196421355</v>
      </c>
      <c r="D32" s="39">
        <f t="shared" si="4"/>
        <v>0.20889839335516344</v>
      </c>
      <c r="E32" s="39">
        <f t="shared" si="4"/>
        <v>0.24207637989649203</v>
      </c>
      <c r="F32" s="39">
        <f t="shared" si="4"/>
        <v>0.15318529889869284</v>
      </c>
      <c r="G32" s="39">
        <f t="shared" si="4"/>
        <v>0.220512514988488</v>
      </c>
      <c r="H32" s="39">
        <f t="shared" si="4"/>
        <v>0.2527730284291173</v>
      </c>
      <c r="I32" s="39">
        <f t="shared" si="4"/>
        <v>0.24764536846379515</v>
      </c>
      <c r="J32" s="39">
        <v>0</v>
      </c>
      <c r="K32" s="39">
        <f t="shared" si="4"/>
        <v>0.2267292067894486</v>
      </c>
      <c r="L32" s="39">
        <f t="shared" si="4"/>
        <v>0.18313507906435814</v>
      </c>
      <c r="M32" s="39">
        <f t="shared" si="4"/>
        <v>0.16700347388467354</v>
      </c>
      <c r="N32" s="39">
        <f>((N18+N23+N28)/(N16+N17+N21+N22+N26+N27))</f>
        <v>0.20202907525165079</v>
      </c>
      <c r="O32" s="39">
        <f>((O18+O23+O28)/(O16+O17+O21+O22+O26+O27))</f>
        <v>0.04791636603573392</v>
      </c>
      <c r="P32" s="39">
        <f>((P18+P23+P28)/(P16+P17+P21+P22+P26+P27))</f>
        <v>0.08592558715439352</v>
      </c>
      <c r="Q32" s="39">
        <f>((Q18+Q23+Q28)/(Q16+Q17+Q21+Q22+Q26+Q27))</f>
        <v>0.14720983111039662</v>
      </c>
      <c r="R32" s="39">
        <f>((R18+R23+R28)/(R16+R17+R21+R22+R26+R27))</f>
        <v>0.1336136308444418</v>
      </c>
    </row>
    <row r="33" spans="2:18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" thickBot="1">
      <c r="A34" s="8" t="s">
        <v>7</v>
      </c>
      <c r="B34" s="10">
        <f aca="true" t="shared" si="5" ref="B34:R34">+B30+B25+B20+B15+B8</f>
        <v>23244056.240340002</v>
      </c>
      <c r="C34" s="10">
        <f t="shared" si="5"/>
        <v>90322526.258008</v>
      </c>
      <c r="D34" s="10">
        <f t="shared" si="5"/>
        <v>31221043.75756</v>
      </c>
      <c r="E34" s="10">
        <f t="shared" si="5"/>
        <v>9267032.223403</v>
      </c>
      <c r="F34" s="10">
        <f t="shared" si="5"/>
        <v>8362459.527175998</v>
      </c>
      <c r="G34" s="10">
        <f t="shared" si="5"/>
        <v>30156007.49192</v>
      </c>
      <c r="H34" s="10">
        <f t="shared" si="5"/>
        <v>10605951.234244</v>
      </c>
      <c r="I34" s="10">
        <f t="shared" si="5"/>
        <v>16990320.655431</v>
      </c>
      <c r="J34" s="10">
        <f t="shared" si="5"/>
        <v>0</v>
      </c>
      <c r="K34" s="10">
        <f t="shared" si="5"/>
        <v>9400957.110000001</v>
      </c>
      <c r="L34" s="10">
        <f t="shared" si="5"/>
        <v>229570354.49808198</v>
      </c>
      <c r="M34" s="10">
        <f t="shared" si="5"/>
        <v>230595611</v>
      </c>
      <c r="N34" s="10">
        <f t="shared" si="5"/>
        <v>1856581.405201</v>
      </c>
      <c r="O34" s="10">
        <f t="shared" si="5"/>
        <v>25199305.72544</v>
      </c>
      <c r="P34" s="10">
        <f t="shared" si="5"/>
        <v>21890662.986524</v>
      </c>
      <c r="Q34" s="10">
        <f t="shared" si="5"/>
        <v>278516904.615247</v>
      </c>
      <c r="R34" s="10">
        <f t="shared" si="5"/>
        <v>279578288</v>
      </c>
    </row>
    <row r="35" ht="12" thickTop="1"/>
    <row r="36" ht="11.25">
      <c r="A36" s="8"/>
    </row>
    <row r="37" spans="1:18" ht="11.25">
      <c r="A37" s="8" t="s">
        <v>78</v>
      </c>
      <c r="B37" s="2">
        <v>19802522</v>
      </c>
      <c r="C37" s="2">
        <v>96904481</v>
      </c>
      <c r="D37" s="2">
        <v>29112917</v>
      </c>
      <c r="E37" s="2">
        <v>6730975</v>
      </c>
      <c r="F37" s="2">
        <v>12382872</v>
      </c>
      <c r="G37" s="2">
        <v>27730925</v>
      </c>
      <c r="H37" s="2">
        <v>10463557</v>
      </c>
      <c r="I37" s="2">
        <v>17266324</v>
      </c>
      <c r="J37" s="2">
        <v>1441580</v>
      </c>
      <c r="K37" s="2">
        <v>8759459</v>
      </c>
      <c r="M37" s="2">
        <f>SUM(B37:K37)</f>
        <v>230595612</v>
      </c>
      <c r="N37" s="2">
        <v>2764186</v>
      </c>
      <c r="O37" s="2">
        <v>26781918</v>
      </c>
      <c r="P37" s="2">
        <v>19436573</v>
      </c>
      <c r="R37" s="2">
        <f>SUM(M37:P37)</f>
        <v>279578289</v>
      </c>
    </row>
    <row r="38" spans="2:14" ht="11.25">
      <c r="B38" s="26"/>
      <c r="C38" s="12"/>
      <c r="D38" s="12"/>
      <c r="E38" s="12"/>
      <c r="F38" s="12"/>
      <c r="G38" s="12"/>
      <c r="H38" s="12"/>
      <c r="N38" s="12"/>
    </row>
    <row r="39" spans="2:14" ht="11.25">
      <c r="B39" s="12"/>
      <c r="C39" s="12"/>
      <c r="D39" s="12"/>
      <c r="E39" s="12"/>
      <c r="F39" s="12"/>
      <c r="G39" s="12"/>
      <c r="H39" s="12"/>
      <c r="N39" s="12"/>
    </row>
    <row r="40" spans="2:14" ht="11.25">
      <c r="B40" s="12"/>
      <c r="C40" s="12"/>
      <c r="D40" s="12"/>
      <c r="E40" s="12"/>
      <c r="F40" s="12"/>
      <c r="G40" s="12"/>
      <c r="H40" s="12"/>
      <c r="N40" s="12"/>
    </row>
    <row r="41" spans="2:17" ht="11.25">
      <c r="B41" s="12"/>
      <c r="C41" s="12"/>
      <c r="D41" s="12"/>
      <c r="E41" s="12"/>
      <c r="F41" s="12"/>
      <c r="G41" s="12"/>
      <c r="H41" s="12"/>
      <c r="N41" s="12"/>
      <c r="Q41" s="12"/>
    </row>
    <row r="42" spans="2:17" ht="11.25">
      <c r="B42" s="12"/>
      <c r="C42" s="12"/>
      <c r="D42" s="12"/>
      <c r="E42" s="12"/>
      <c r="F42" s="12"/>
      <c r="G42" s="12"/>
      <c r="H42" s="12"/>
      <c r="N42" s="12"/>
      <c r="Q42" s="12"/>
    </row>
    <row r="43" spans="1:17" ht="10.5" customHeight="1" hidden="1">
      <c r="A43" s="2" t="s">
        <v>33</v>
      </c>
      <c r="B43" s="2" t="s">
        <v>33</v>
      </c>
      <c r="Q43" s="27" t="s">
        <v>46</v>
      </c>
    </row>
    <row r="44" spans="10:18" ht="11.25" hidden="1">
      <c r="J44" s="12"/>
      <c r="K44" s="12"/>
      <c r="L44" s="12"/>
      <c r="M44" s="12"/>
      <c r="O44" s="12"/>
      <c r="P44" s="12"/>
      <c r="Q44" s="27" t="s">
        <v>48</v>
      </c>
      <c r="R44" s="12"/>
    </row>
    <row r="45" spans="10:18" ht="11.25" hidden="1">
      <c r="J45" s="12"/>
      <c r="K45" s="12"/>
      <c r="L45" s="12"/>
      <c r="M45" s="12"/>
      <c r="O45" s="12"/>
      <c r="P45" s="12"/>
      <c r="R45" s="12"/>
    </row>
    <row r="46" spans="15:18" ht="11.25" hidden="1">
      <c r="O46" s="8" t="s">
        <v>45</v>
      </c>
      <c r="Q46" s="2">
        <f>Research!Q50+Extension!Q50</f>
        <v>142593734.54</v>
      </c>
      <c r="R46" s="27" t="s">
        <v>47</v>
      </c>
    </row>
    <row r="47" spans="15:18" ht="11.25" hidden="1">
      <c r="O47" s="8"/>
      <c r="Q47" s="2">
        <f>Research!Q51+Instruction!Q51+Extension!Q51</f>
        <v>102281425.18999998</v>
      </c>
      <c r="R47" s="27" t="s">
        <v>49</v>
      </c>
    </row>
    <row r="48" ht="11.25" hidden="1"/>
    <row r="49" spans="10:18" ht="12" hidden="1" thickBot="1">
      <c r="J49" s="12"/>
      <c r="K49" s="12"/>
      <c r="L49" s="12"/>
      <c r="M49" s="12"/>
      <c r="O49" s="2" t="s">
        <v>50</v>
      </c>
      <c r="P49" s="12"/>
      <c r="Q49" s="10">
        <f>+Q46+Q47</f>
        <v>244875159.72999996</v>
      </c>
      <c r="R49" s="2">
        <f>Research!R50+Extension!R50</f>
        <v>151429014.32999998</v>
      </c>
    </row>
    <row r="50" spans="10:18" ht="11.25" hidden="1">
      <c r="J50" s="12"/>
      <c r="K50" s="12"/>
      <c r="L50" s="12"/>
      <c r="M50" s="12"/>
      <c r="O50" s="2" t="s">
        <v>51</v>
      </c>
      <c r="P50" s="12"/>
      <c r="R50" s="2">
        <f>Research!R51+Instruction!R51+Extension!R51</f>
        <v>102587226.22</v>
      </c>
    </row>
    <row r="51" spans="10:17" ht="11.25" hidden="1">
      <c r="J51" s="12"/>
      <c r="K51" s="12"/>
      <c r="L51" s="12"/>
      <c r="M51" s="12"/>
      <c r="P51" s="12"/>
      <c r="Q51" s="2">
        <f>Q12</f>
        <v>16631600.575246997</v>
      </c>
    </row>
    <row r="52" spans="10:18" ht="12" hidden="1" thickBot="1">
      <c r="J52" s="12"/>
      <c r="K52" s="12"/>
      <c r="L52" s="12"/>
      <c r="M52" s="12"/>
      <c r="O52" s="2" t="s">
        <v>52</v>
      </c>
      <c r="P52" s="12"/>
      <c r="R52" s="10">
        <f>+R49+R50</f>
        <v>254016240.54999998</v>
      </c>
    </row>
    <row r="53" spans="10:17" ht="11.25" hidden="1">
      <c r="J53" s="12"/>
      <c r="K53" s="12"/>
      <c r="L53" s="12"/>
      <c r="M53" s="12"/>
      <c r="P53" s="12"/>
      <c r="Q53" s="2">
        <f>Q18+Q23+Q28</f>
        <v>15055512.69</v>
      </c>
    </row>
    <row r="54" spans="1:18" ht="11.25" hidden="1">
      <c r="A54" s="11"/>
      <c r="B54" s="12"/>
      <c r="C54" s="12"/>
      <c r="D54" s="12"/>
      <c r="E54" s="12"/>
      <c r="F54" s="12"/>
      <c r="G54" s="12"/>
      <c r="H54" s="12"/>
      <c r="I54" s="12"/>
      <c r="N54" s="12"/>
      <c r="O54" s="15" t="s">
        <v>34</v>
      </c>
      <c r="Q54" s="2">
        <f>Q13</f>
        <v>1174907.48</v>
      </c>
      <c r="R54" s="2">
        <f>Q12</f>
        <v>16631600.575246997</v>
      </c>
    </row>
    <row r="55" spans="1:17" ht="11.25" hidden="1">
      <c r="A55" s="11"/>
      <c r="B55" s="12"/>
      <c r="C55" s="12"/>
      <c r="D55" s="12"/>
      <c r="E55" s="12"/>
      <c r="F55" s="12"/>
      <c r="G55" s="12"/>
      <c r="H55" s="12"/>
      <c r="I55" s="12"/>
      <c r="N55" s="12"/>
      <c r="O55" s="15" t="s">
        <v>35</v>
      </c>
      <c r="Q55" s="2">
        <f>Instruction!Q59</f>
        <v>779724.14</v>
      </c>
    </row>
    <row r="56" spans="2:18" ht="11.25" hidden="1">
      <c r="B56" s="12"/>
      <c r="C56" s="12"/>
      <c r="D56" s="12"/>
      <c r="E56" s="12"/>
      <c r="F56" s="12"/>
      <c r="G56" s="12"/>
      <c r="H56" s="12"/>
      <c r="I56" s="12"/>
      <c r="N56" s="12"/>
      <c r="O56" s="15" t="s">
        <v>37</v>
      </c>
      <c r="Q56" s="2">
        <f>Research!Q59+Instruction!Q60+Extension!Q59</f>
        <v>0</v>
      </c>
      <c r="R56" s="2">
        <f>Q18+Q23+Q28</f>
        <v>15055512.69</v>
      </c>
    </row>
    <row r="57" spans="2:18" ht="11.25" hidden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 t="s">
        <v>36</v>
      </c>
      <c r="P57" s="12"/>
      <c r="R57" s="2">
        <f>Q13</f>
        <v>1174907.48</v>
      </c>
    </row>
    <row r="58" spans="2:18" ht="11.25" hidden="1">
      <c r="B58" s="12"/>
      <c r="C58" s="12"/>
      <c r="D58" s="12"/>
      <c r="E58" s="12"/>
      <c r="F58" s="12"/>
      <c r="G58" s="12"/>
      <c r="H58" s="12"/>
      <c r="I58" s="12"/>
      <c r="N58" s="12"/>
      <c r="O58" s="2" t="s">
        <v>53</v>
      </c>
      <c r="R58" s="2">
        <f>Instruction!Q59</f>
        <v>779724.14</v>
      </c>
    </row>
    <row r="59" spans="2:18" ht="11.25" hidden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" t="s">
        <v>54</v>
      </c>
      <c r="P59" s="12"/>
      <c r="R59" s="2">
        <f>Research!R59+Instruction!R60+Extension!R59</f>
        <v>0</v>
      </c>
    </row>
    <row r="60" spans="2:18" ht="11.25" hidden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" t="s">
        <v>55</v>
      </c>
      <c r="P60" s="12"/>
      <c r="Q60" s="2">
        <f>Research!Q63+Extension!Q62</f>
        <v>0</v>
      </c>
      <c r="R60" s="2">
        <f>Research!R60+Instruction!R61+Extension!R60</f>
        <v>0</v>
      </c>
    </row>
    <row r="61" spans="10:18" ht="11.25" hidden="1">
      <c r="J61" s="12"/>
      <c r="K61" s="12"/>
      <c r="L61" s="12"/>
      <c r="M61" s="12"/>
      <c r="O61" s="2" t="s">
        <v>70</v>
      </c>
      <c r="P61" s="12"/>
      <c r="R61" s="2">
        <f>Research!R61</f>
        <v>0</v>
      </c>
    </row>
    <row r="62" spans="10:18" ht="12" hidden="1" thickBot="1">
      <c r="J62" s="12"/>
      <c r="K62" s="12"/>
      <c r="L62" s="12"/>
      <c r="M62" s="12"/>
      <c r="O62" s="2" t="s">
        <v>67</v>
      </c>
      <c r="P62" s="12"/>
      <c r="Q62" s="10">
        <f>SUM(Q49:Q60)</f>
        <v>278516904.61524695</v>
      </c>
      <c r="R62" s="2">
        <f>Research!R62+Extension!R61</f>
        <v>0</v>
      </c>
    </row>
    <row r="63" spans="10:18" ht="11.25" hidden="1">
      <c r="J63" s="12"/>
      <c r="K63" s="12"/>
      <c r="L63" s="12"/>
      <c r="M63" s="12"/>
      <c r="O63" s="2" t="s">
        <v>56</v>
      </c>
      <c r="P63" s="12"/>
      <c r="R63" s="2">
        <f>Research!R63+Extension!R62</f>
        <v>0</v>
      </c>
    </row>
    <row r="64" spans="10:17" ht="11.25" hidden="1">
      <c r="J64" s="12"/>
      <c r="K64" s="12"/>
      <c r="L64" s="12"/>
      <c r="M64" s="12"/>
      <c r="P64" s="12"/>
      <c r="Q64" s="2">
        <f>+Q34-Q62</f>
        <v>0</v>
      </c>
    </row>
    <row r="65" spans="10:18" ht="12" hidden="1" thickBot="1">
      <c r="J65" s="12"/>
      <c r="K65" s="12"/>
      <c r="L65" s="12"/>
      <c r="M65" s="12"/>
      <c r="O65" s="2" t="s">
        <v>57</v>
      </c>
      <c r="P65" s="12"/>
      <c r="Q65" s="12"/>
      <c r="R65" s="10">
        <f>SUM(R52:R63)</f>
        <v>287657985.435247</v>
      </c>
    </row>
    <row r="66" spans="10:17" ht="11.25" hidden="1">
      <c r="J66" s="12"/>
      <c r="K66" s="12"/>
      <c r="L66" s="12"/>
      <c r="M66" s="12"/>
      <c r="O66" s="12"/>
      <c r="P66" s="12"/>
      <c r="Q66" s="12"/>
    </row>
    <row r="67" spans="10:18" ht="11.25" hidden="1">
      <c r="J67" s="12"/>
      <c r="K67" s="12"/>
      <c r="L67" s="12"/>
      <c r="M67" s="12"/>
      <c r="O67" s="12"/>
      <c r="P67" s="12"/>
      <c r="R67" s="2">
        <f>Q62-R65</f>
        <v>-9141080.820000052</v>
      </c>
    </row>
    <row r="68" spans="10:18" ht="11.25" hidden="1">
      <c r="J68" s="12"/>
      <c r="K68" s="12"/>
      <c r="L68" s="12"/>
      <c r="M68" s="12"/>
      <c r="O68" s="12"/>
      <c r="P68" s="12"/>
      <c r="R68" s="12"/>
    </row>
    <row r="69" spans="10:18" ht="11.25" hidden="1">
      <c r="J69" s="12"/>
      <c r="K69" s="12"/>
      <c r="L69" s="12"/>
      <c r="M69" s="12"/>
      <c r="O69" s="12"/>
      <c r="P69" s="12"/>
      <c r="R69" s="12"/>
    </row>
    <row r="70" ht="11.25" hidden="1"/>
    <row r="71" ht="11.25" hidden="1"/>
    <row r="72" ht="11.25" hidden="1"/>
    <row r="73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1" r:id="rId1"/>
  <headerFooter alignWithMargins="0">
    <oddHeader>&amp;L11/04/15&amp;C&amp;F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66"/>
  <sheetViews>
    <sheetView zoomScalePageLayoutView="0" workbookViewId="0" topLeftCell="A1">
      <pane xSplit="1" ySplit="6" topLeftCell="D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A28" sqref="A28"/>
    </sheetView>
  </sheetViews>
  <sheetFormatPr defaultColWidth="9.140625" defaultRowHeight="12.75" outlineLevelRow="1"/>
  <cols>
    <col min="1" max="1" width="19.00390625" style="15" customWidth="1"/>
    <col min="2" max="2" width="10.57421875" style="15" customWidth="1"/>
    <col min="3" max="3" width="10.8515625" style="15" customWidth="1"/>
    <col min="4" max="4" width="10.57421875" style="15" customWidth="1"/>
    <col min="5" max="5" width="10.28125" style="15" customWidth="1"/>
    <col min="6" max="6" width="9.7109375" style="15" customWidth="1"/>
    <col min="7" max="7" width="10.421875" style="15" bestFit="1" customWidth="1"/>
    <col min="8" max="8" width="9.140625" style="15" customWidth="1"/>
    <col min="9" max="9" width="10.140625" style="15" customWidth="1"/>
    <col min="10" max="10" width="7.8515625" style="15" bestFit="1" customWidth="1"/>
    <col min="11" max="11" width="9.8515625" style="15" bestFit="1" customWidth="1"/>
    <col min="12" max="13" width="9.57421875" style="15" customWidth="1"/>
    <col min="14" max="14" width="9.140625" style="15" customWidth="1"/>
    <col min="15" max="15" width="10.140625" style="15" customWidth="1"/>
    <col min="16" max="16" width="8.57421875" style="15" bestFit="1" customWidth="1"/>
    <col min="17" max="17" width="10.421875" style="15" bestFit="1" customWidth="1"/>
    <col min="18" max="18" width="10.8515625" style="15" bestFit="1" customWidth="1"/>
    <col min="19" max="16384" width="9.140625" style="15" customWidth="1"/>
  </cols>
  <sheetData>
    <row r="1" spans="1:8" ht="11.25">
      <c r="A1" s="8" t="s">
        <v>76</v>
      </c>
      <c r="H1" s="13"/>
    </row>
    <row r="2" ht="11.25">
      <c r="A2" s="14" t="s">
        <v>32</v>
      </c>
    </row>
    <row r="4" spans="1:18" ht="11.25">
      <c r="A4" s="14" t="s">
        <v>39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16"/>
      <c r="L4" s="37" t="s">
        <v>77</v>
      </c>
      <c r="M4" s="37" t="s">
        <v>75</v>
      </c>
      <c r="N4" s="16"/>
      <c r="O4" s="16"/>
      <c r="P4" s="16" t="s">
        <v>29</v>
      </c>
      <c r="Q4" s="37" t="s">
        <v>77</v>
      </c>
      <c r="R4" s="37" t="s">
        <v>75</v>
      </c>
    </row>
    <row r="5" spans="2:18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16"/>
      <c r="K5" s="16"/>
      <c r="L5" s="37" t="s">
        <v>74</v>
      </c>
      <c r="M5" s="37" t="s">
        <v>74</v>
      </c>
      <c r="N5" s="16"/>
      <c r="O5" s="16" t="s">
        <v>6</v>
      </c>
      <c r="P5" s="16" t="s">
        <v>30</v>
      </c>
      <c r="Q5" s="16" t="s">
        <v>44</v>
      </c>
      <c r="R5" s="16" t="s">
        <v>7</v>
      </c>
    </row>
    <row r="6" spans="2:18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4" t="s">
        <v>79</v>
      </c>
      <c r="L6" s="37" t="s">
        <v>73</v>
      </c>
      <c r="M6" s="37" t="s">
        <v>73</v>
      </c>
      <c r="N6" s="17" t="s">
        <v>14</v>
      </c>
      <c r="O6" s="17" t="s">
        <v>16</v>
      </c>
      <c r="P6" s="17" t="s">
        <v>10</v>
      </c>
      <c r="Q6" s="30" t="s">
        <v>8</v>
      </c>
      <c r="R6" s="17" t="s">
        <v>8</v>
      </c>
    </row>
    <row r="7" spans="1:17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1.25" customHeight="1">
      <c r="A8" s="8" t="s">
        <v>18</v>
      </c>
      <c r="B8" s="15">
        <f>SUM(B9:B13)-0.4</f>
        <v>6725078.604319999</v>
      </c>
      <c r="C8" s="15">
        <f>SUM(C9:C13)</f>
        <v>30577831.230376</v>
      </c>
      <c r="D8" s="15">
        <f>SUM(D9:D13)</f>
        <v>17773449.71354</v>
      </c>
      <c r="E8" s="15">
        <f>SUM(E9:E13)</f>
        <v>8755034.739688</v>
      </c>
      <c r="F8" s="15">
        <f>SUM(F9:F13)</f>
        <v>814837.0071759999</v>
      </c>
      <c r="G8" s="15">
        <f>SUM(G9:G13)</f>
        <v>12175933.10192</v>
      </c>
      <c r="H8" s="15">
        <f>ROUND(SUM(H9:H13),0)</f>
        <v>2558358</v>
      </c>
      <c r="I8" s="15">
        <f>SUM(I9:I13)</f>
        <v>5777837.931712001</v>
      </c>
      <c r="J8" s="15">
        <f>ROUND(SUM(J9:J13),0)</f>
        <v>0</v>
      </c>
      <c r="K8" s="15">
        <f>ROUND(SUM(K9:K13),0)</f>
        <v>0</v>
      </c>
      <c r="L8" s="15">
        <f>ROUND(SUM(L9:L13),0)</f>
        <v>85158360</v>
      </c>
      <c r="M8" s="15">
        <f>ROUND(SUM(M9:M13),0)</f>
        <v>82969480</v>
      </c>
      <c r="N8" s="15">
        <f>SUM(N9:N13)</f>
        <v>0</v>
      </c>
      <c r="O8" s="15">
        <f>SUM(O9:O13)</f>
        <v>0</v>
      </c>
      <c r="P8" s="15">
        <f>ROUND(SUM(P9:P13),0)</f>
        <v>2310580</v>
      </c>
      <c r="Q8" s="15">
        <f>ROUND(SUM(Q9:Q13),0)</f>
        <v>87468940</v>
      </c>
      <c r="R8" s="15">
        <f>ROUND(SUM(R9:R13),0)</f>
        <v>85390976</v>
      </c>
    </row>
    <row r="9" spans="1:18" s="19" customFormat="1" ht="11.25" customHeight="1" outlineLevel="1">
      <c r="A9" s="19" t="s">
        <v>19</v>
      </c>
      <c r="B9" s="19">
        <v>6498067.43</v>
      </c>
      <c r="C9" s="19">
        <v>21891309.76</v>
      </c>
      <c r="D9" s="19">
        <v>16446217.16</v>
      </c>
      <c r="E9" s="19">
        <v>8693767.73</v>
      </c>
      <c r="F9" s="19">
        <v>147251.51</v>
      </c>
      <c r="G9" s="19">
        <v>10642372.09</v>
      </c>
      <c r="H9" s="19">
        <v>1737932.65</v>
      </c>
      <c r="I9" s="19">
        <v>5083614.48</v>
      </c>
      <c r="L9" s="19">
        <f>SUM(B9:K9)</f>
        <v>71140532.80999999</v>
      </c>
      <c r="M9" s="19">
        <v>69332622</v>
      </c>
      <c r="P9" s="19">
        <v>1951370.1</v>
      </c>
      <c r="Q9" s="19">
        <f>L9+N9+O9+P9</f>
        <v>73091902.90999998</v>
      </c>
      <c r="R9" s="19">
        <v>71317592</v>
      </c>
    </row>
    <row r="10" spans="1:18" s="19" customFormat="1" ht="11.25" customHeight="1" outlineLevel="1">
      <c r="A10" s="19" t="s">
        <v>20</v>
      </c>
      <c r="B10" s="19">
        <v>31230.97</v>
      </c>
      <c r="C10" s="19">
        <v>64442.6</v>
      </c>
      <c r="D10" s="19">
        <v>294025.85</v>
      </c>
      <c r="F10" s="19">
        <v>275736.18</v>
      </c>
      <c r="G10" s="19">
        <v>318203.86</v>
      </c>
      <c r="H10" s="19">
        <v>60071.74</v>
      </c>
      <c r="I10" s="19">
        <v>345345.86</v>
      </c>
      <c r="L10" s="19">
        <f>SUM(B10:K10)</f>
        <v>1389057.06</v>
      </c>
      <c r="M10" s="19">
        <v>1067053</v>
      </c>
      <c r="P10" s="19">
        <v>120424.36</v>
      </c>
      <c r="Q10" s="19">
        <f>L10+N10+O10+P10</f>
        <v>1509481.4200000002</v>
      </c>
      <c r="R10" s="19">
        <v>1260857</v>
      </c>
    </row>
    <row r="11" spans="1:18" ht="11.25" outlineLevel="1">
      <c r="A11" s="15" t="s">
        <v>21</v>
      </c>
      <c r="B11" s="15">
        <v>-45700.67</v>
      </c>
      <c r="C11" s="19">
        <v>6573552.38</v>
      </c>
      <c r="L11" s="19">
        <f>SUM(B11:K11)</f>
        <v>6527851.71</v>
      </c>
      <c r="M11" s="19">
        <v>5966440</v>
      </c>
      <c r="P11" s="19"/>
      <c r="Q11" s="19">
        <f>L11+N11+O11+P11</f>
        <v>6527851.71</v>
      </c>
      <c r="R11" s="15">
        <v>5966440</v>
      </c>
    </row>
    <row r="12" spans="1:18" ht="11.25" outlineLevel="1">
      <c r="A12" s="2" t="s">
        <v>72</v>
      </c>
      <c r="B12" s="19">
        <f>(0.0579*(B17+B18+B22+B23+B27+B28))</f>
        <v>225990.69431999998</v>
      </c>
      <c r="C12" s="19">
        <f>(0.2066*(C17+C18+C22+C23+C27+C28))</f>
        <v>2016562.7603759998</v>
      </c>
      <c r="D12" s="19">
        <f>(0.0902*(D17+D18+D22+D23+D27+D28))</f>
        <v>887369.80354</v>
      </c>
      <c r="E12" s="19">
        <f>(0.2237*(E17+E18+E22+E23+E27+E28))</f>
        <v>61267.009688</v>
      </c>
      <c r="F12" s="19">
        <f>(0.3209*(F17+F18+F22+F23+F27+F28))</f>
        <v>255084.257176</v>
      </c>
      <c r="G12" s="19">
        <f>(0.119*(G17+G18+G22+G23+G27+G28))</f>
        <v>1057527.97192</v>
      </c>
      <c r="H12" s="19">
        <f>(0.2668*(H17+H18+H22+H23+H27+H28))</f>
        <v>730557.584244</v>
      </c>
      <c r="I12" s="19">
        <f>(0.0438*(I17+I18+I22+I23+I27+I28))</f>
        <v>177585.971712</v>
      </c>
      <c r="J12" s="19"/>
      <c r="K12" s="19"/>
      <c r="L12" s="19">
        <f>SUM(B12:K12)</f>
        <v>5411946.052975999</v>
      </c>
      <c r="M12" s="19">
        <v>6074107</v>
      </c>
      <c r="N12" s="19"/>
      <c r="O12" s="19">
        <f>(0*(O17+O18+O22+O23+O27+O28))</f>
        <v>0</v>
      </c>
      <c r="P12" s="19">
        <f>(0.1134*(P17+P18+P22+P23+P27+P28))</f>
        <v>205548.58825200005</v>
      </c>
      <c r="Q12" s="19">
        <f>L12+N12+O12+P12</f>
        <v>5617494.641228</v>
      </c>
      <c r="R12" s="15">
        <v>6263339</v>
      </c>
    </row>
    <row r="13" spans="1:18" ht="11.25" outlineLevel="1">
      <c r="A13" s="15" t="s">
        <v>36</v>
      </c>
      <c r="B13" s="15">
        <v>15490.58</v>
      </c>
      <c r="C13" s="15">
        <v>31963.73</v>
      </c>
      <c r="D13" s="15">
        <v>145836.9</v>
      </c>
      <c r="F13" s="15">
        <v>136765.06</v>
      </c>
      <c r="G13" s="15">
        <v>157829.18</v>
      </c>
      <c r="H13" s="15">
        <v>29795.71</v>
      </c>
      <c r="I13" s="15">
        <v>171291.62</v>
      </c>
      <c r="L13" s="19">
        <f>SUM(B13:K13)</f>
        <v>688972.78</v>
      </c>
      <c r="M13" s="19">
        <v>529258</v>
      </c>
      <c r="P13" s="15">
        <v>33237.02</v>
      </c>
      <c r="Q13" s="19">
        <f>L13+N13+O13+P13</f>
        <v>722209.8</v>
      </c>
      <c r="R13" s="15">
        <v>582748</v>
      </c>
    </row>
    <row r="14" spans="2:17" s="40" customFormat="1" ht="11.25" hidden="1" outlineLevel="1">
      <c r="B14" s="40">
        <v>0.496</v>
      </c>
      <c r="C14" s="40">
        <v>0.496</v>
      </c>
      <c r="L14" s="43"/>
      <c r="M14" s="43"/>
      <c r="N14" s="40">
        <v>0.542</v>
      </c>
      <c r="O14" s="40">
        <v>0.548</v>
      </c>
      <c r="P14" s="43">
        <v>0.276</v>
      </c>
      <c r="Q14" s="43"/>
    </row>
    <row r="16" spans="1:18" ht="11.25">
      <c r="A16" s="14" t="s">
        <v>25</v>
      </c>
      <c r="B16" s="15">
        <f aca="true" t="shared" si="0" ref="B16:R16">SUM(B17:B19)</f>
        <v>61751.520000000004</v>
      </c>
      <c r="C16" s="15">
        <f t="shared" si="0"/>
        <v>1946117.53</v>
      </c>
      <c r="D16" s="15">
        <f t="shared" si="0"/>
        <v>760016.65</v>
      </c>
      <c r="E16" s="15">
        <f t="shared" si="0"/>
        <v>163557.71</v>
      </c>
      <c r="F16" s="15">
        <f t="shared" si="0"/>
        <v>211956.91</v>
      </c>
      <c r="G16" s="15">
        <f t="shared" si="0"/>
        <v>2520059.66</v>
      </c>
      <c r="H16" s="15">
        <f t="shared" si="0"/>
        <v>402035.75</v>
      </c>
      <c r="I16" s="15">
        <f t="shared" si="0"/>
        <v>832499.13</v>
      </c>
      <c r="J16" s="15">
        <f t="shared" si="0"/>
        <v>0</v>
      </c>
      <c r="K16" s="15">
        <f t="shared" si="0"/>
        <v>11662</v>
      </c>
      <c r="L16" s="15">
        <f t="shared" si="0"/>
        <v>6909656.86</v>
      </c>
      <c r="M16" s="15">
        <f t="shared" si="0"/>
        <v>7044908</v>
      </c>
      <c r="N16" s="15">
        <f>SUM(N17:N19)</f>
        <v>0</v>
      </c>
      <c r="O16" s="15">
        <f>SUM(O17:O19)</f>
        <v>0</v>
      </c>
      <c r="P16" s="15">
        <f>SUM(P17:P19)</f>
        <v>815403.0800000001</v>
      </c>
      <c r="Q16" s="15">
        <f t="shared" si="0"/>
        <v>7725059.94</v>
      </c>
      <c r="R16" s="15">
        <f t="shared" si="0"/>
        <v>7221774</v>
      </c>
    </row>
    <row r="17" spans="1:18" ht="11.25" outlineLevel="1">
      <c r="A17" s="15" t="s">
        <v>22</v>
      </c>
      <c r="B17" s="15">
        <v>60203.48</v>
      </c>
      <c r="C17" s="15">
        <v>1718823.19</v>
      </c>
      <c r="D17" s="15">
        <v>611311.29</v>
      </c>
      <c r="E17" s="15">
        <v>121570.29</v>
      </c>
      <c r="F17" s="15">
        <v>181624.4</v>
      </c>
      <c r="G17" s="15">
        <v>1974563.76</v>
      </c>
      <c r="H17" s="15">
        <v>376761.19</v>
      </c>
      <c r="I17" s="15">
        <v>609736.63</v>
      </c>
      <c r="L17" s="19">
        <f>SUM(B17:K17)</f>
        <v>5654594.23</v>
      </c>
      <c r="M17" s="19">
        <v>5889239</v>
      </c>
      <c r="P17" s="19">
        <v>789155.92</v>
      </c>
      <c r="Q17" s="19">
        <f>L17+N17+O17+P17</f>
        <v>6443750.15</v>
      </c>
      <c r="R17" s="15">
        <v>6058528</v>
      </c>
    </row>
    <row r="18" spans="1:18" ht="11.25" outlineLevel="1">
      <c r="A18" s="2" t="s">
        <v>80</v>
      </c>
      <c r="K18" s="15">
        <v>8812</v>
      </c>
      <c r="L18" s="19">
        <f>SUM(B18:K18)</f>
        <v>8812</v>
      </c>
      <c r="M18" s="19">
        <v>50000</v>
      </c>
      <c r="P18" s="19"/>
      <c r="Q18" s="19">
        <f>L18+N18+O18+P18</f>
        <v>8812</v>
      </c>
      <c r="R18" s="15">
        <v>50000</v>
      </c>
    </row>
    <row r="19" spans="1:18" ht="11.25" outlineLevel="1">
      <c r="A19" s="15" t="s">
        <v>37</v>
      </c>
      <c r="B19" s="15">
        <v>1548.04</v>
      </c>
      <c r="C19" s="15">
        <v>227294.34</v>
      </c>
      <c r="D19" s="15">
        <v>148705.36</v>
      </c>
      <c r="E19" s="15">
        <v>41987.42</v>
      </c>
      <c r="F19" s="15">
        <v>30332.51</v>
      </c>
      <c r="G19" s="15">
        <v>545495.9</v>
      </c>
      <c r="H19" s="15">
        <v>25274.56</v>
      </c>
      <c r="I19" s="15">
        <v>222762.5</v>
      </c>
      <c r="K19" s="15">
        <v>2850</v>
      </c>
      <c r="L19" s="19">
        <f>SUM(B19:K19)</f>
        <v>1246250.6300000001</v>
      </c>
      <c r="M19" s="19">
        <v>1105669</v>
      </c>
      <c r="P19" s="19">
        <v>26247.16</v>
      </c>
      <c r="Q19" s="19">
        <f>L19+N19+O19+P19</f>
        <v>1272497.79</v>
      </c>
      <c r="R19" s="15">
        <v>1113246</v>
      </c>
    </row>
    <row r="20" ht="11.25">
      <c r="Q20" s="19"/>
    </row>
    <row r="21" spans="1:18" ht="11.25">
      <c r="A21" s="14" t="s">
        <v>23</v>
      </c>
      <c r="B21" s="15">
        <f aca="true" t="shared" si="1" ref="B21:R21">SUM(B22:B24)</f>
        <v>3312201.5</v>
      </c>
      <c r="C21" s="15">
        <f t="shared" si="1"/>
        <v>7364603.9</v>
      </c>
      <c r="D21" s="15">
        <f t="shared" si="1"/>
        <v>10230395.26</v>
      </c>
      <c r="E21" s="15">
        <f t="shared" si="1"/>
        <v>90994.26</v>
      </c>
      <c r="F21" s="15">
        <f t="shared" si="1"/>
        <v>746033.9299999999</v>
      </c>
      <c r="G21" s="15">
        <f t="shared" si="1"/>
        <v>8205414.25</v>
      </c>
      <c r="H21" s="15">
        <f t="shared" si="1"/>
        <v>2534188.3899999997</v>
      </c>
      <c r="I21" s="15">
        <f t="shared" si="1"/>
        <v>4399656.07</v>
      </c>
      <c r="J21" s="15">
        <f t="shared" si="1"/>
        <v>0</v>
      </c>
      <c r="K21" s="15">
        <f t="shared" si="1"/>
        <v>2037511</v>
      </c>
      <c r="L21" s="15">
        <f t="shared" si="1"/>
        <v>38920998.559999995</v>
      </c>
      <c r="M21" s="15">
        <f t="shared" si="1"/>
        <v>40241487</v>
      </c>
      <c r="N21" s="15">
        <f>SUM(N22:N24)</f>
        <v>0</v>
      </c>
      <c r="O21" s="15">
        <f>SUM(O22:O24)</f>
        <v>88868.53</v>
      </c>
      <c r="P21" s="15">
        <f>SUM(P22:P24)</f>
        <v>1021016.1799999999</v>
      </c>
      <c r="Q21" s="15">
        <f t="shared" si="1"/>
        <v>40030883.269999996</v>
      </c>
      <c r="R21" s="15">
        <f t="shared" si="1"/>
        <v>41317626</v>
      </c>
    </row>
    <row r="22" spans="1:18" ht="11.25" outlineLevel="1">
      <c r="A22" s="15" t="s">
        <v>22</v>
      </c>
      <c r="B22" s="15">
        <v>3134950.44</v>
      </c>
      <c r="C22" s="2">
        <v>6125123.46</v>
      </c>
      <c r="D22" s="15">
        <v>8220654.5</v>
      </c>
      <c r="E22" s="15">
        <v>77191.29</v>
      </c>
      <c r="F22" s="15">
        <v>552109.2</v>
      </c>
      <c r="G22" s="15">
        <v>6356226.26</v>
      </c>
      <c r="H22" s="15">
        <v>1856504.93</v>
      </c>
      <c r="I22" s="15">
        <v>3213798.72</v>
      </c>
      <c r="L22" s="19">
        <f>SUM(B22:K22)</f>
        <v>29536558.799999997</v>
      </c>
      <c r="M22" s="19">
        <v>33059799</v>
      </c>
      <c r="O22" s="15">
        <v>65607.16</v>
      </c>
      <c r="P22" s="19">
        <v>965831.74</v>
      </c>
      <c r="Q22" s="19">
        <f>L22+N22+O22+P22</f>
        <v>30567997.699999996</v>
      </c>
      <c r="R22" s="15">
        <v>34047107</v>
      </c>
    </row>
    <row r="23" spans="1:18" ht="11.25" outlineLevel="1">
      <c r="A23" s="2" t="s">
        <v>80</v>
      </c>
      <c r="K23" s="15">
        <v>1539543</v>
      </c>
      <c r="L23" s="19">
        <f>SUM(B23:K23)</f>
        <v>1539543</v>
      </c>
      <c r="M23" s="19">
        <v>0</v>
      </c>
      <c r="P23" s="19"/>
      <c r="Q23" s="19">
        <f>L23+N23+O23+P23</f>
        <v>1539543</v>
      </c>
      <c r="R23" s="15">
        <v>0</v>
      </c>
    </row>
    <row r="24" spans="1:18" ht="11.25" outlineLevel="1">
      <c r="A24" s="15" t="s">
        <v>37</v>
      </c>
      <c r="B24" s="15">
        <v>177251.06</v>
      </c>
      <c r="C24" s="15">
        <v>1239480.44</v>
      </c>
      <c r="D24" s="15">
        <v>2009740.76</v>
      </c>
      <c r="E24" s="15">
        <v>13802.97</v>
      </c>
      <c r="F24" s="15">
        <v>193924.73</v>
      </c>
      <c r="G24" s="15">
        <v>1849187.99</v>
      </c>
      <c r="H24" s="15">
        <v>677683.46</v>
      </c>
      <c r="I24" s="15">
        <v>1185857.35</v>
      </c>
      <c r="K24" s="15">
        <v>497968</v>
      </c>
      <c r="L24" s="19">
        <f>SUM(B24:K24)</f>
        <v>7844896.76</v>
      </c>
      <c r="M24" s="19">
        <v>7181688</v>
      </c>
      <c r="O24" s="15">
        <v>23261.37</v>
      </c>
      <c r="P24" s="19">
        <v>55184.44</v>
      </c>
      <c r="Q24" s="19">
        <f>L24+N24+O24+P24</f>
        <v>7923342.57</v>
      </c>
      <c r="R24" s="15">
        <v>7270519</v>
      </c>
    </row>
    <row r="25" ht="11.25">
      <c r="R25" s="15" t="s">
        <v>33</v>
      </c>
    </row>
    <row r="26" spans="1:18" ht="11.25">
      <c r="A26" s="14" t="s">
        <v>24</v>
      </c>
      <c r="B26" s="15">
        <f aca="true" t="shared" si="2" ref="B26:R26">SUM(B27:B29)</f>
        <v>711208.07</v>
      </c>
      <c r="C26" s="15">
        <f t="shared" si="2"/>
        <v>1916941.9</v>
      </c>
      <c r="D26" s="15">
        <f t="shared" si="2"/>
        <v>1047050.8500000001</v>
      </c>
      <c r="E26" s="15">
        <f t="shared" si="2"/>
        <v>75118.66</v>
      </c>
      <c r="F26" s="15">
        <f t="shared" si="2"/>
        <v>61168.97</v>
      </c>
      <c r="G26" s="15">
        <f t="shared" si="2"/>
        <v>560257.78</v>
      </c>
      <c r="H26" s="15">
        <f t="shared" si="2"/>
        <v>541593.75</v>
      </c>
      <c r="I26" s="15">
        <f t="shared" si="2"/>
        <v>230930.66</v>
      </c>
      <c r="J26" s="15">
        <f t="shared" si="2"/>
        <v>0</v>
      </c>
      <c r="K26" s="15">
        <f t="shared" si="2"/>
        <v>0</v>
      </c>
      <c r="L26" s="15">
        <f t="shared" si="2"/>
        <v>5144270.64</v>
      </c>
      <c r="M26" s="15">
        <f t="shared" si="2"/>
        <v>3786981</v>
      </c>
      <c r="N26" s="15">
        <f>SUM(N27:N29)</f>
        <v>0</v>
      </c>
      <c r="O26" s="15">
        <f>SUM(O27:O29)</f>
        <v>0</v>
      </c>
      <c r="P26" s="15">
        <f>SUM(P27:P29)</f>
        <v>57610.12</v>
      </c>
      <c r="Q26" s="15">
        <f t="shared" si="2"/>
        <v>5201880.76</v>
      </c>
      <c r="R26" s="15">
        <f t="shared" si="2"/>
        <v>3823177</v>
      </c>
    </row>
    <row r="27" spans="1:18" ht="11.25" outlineLevel="1">
      <c r="A27" s="15" t="s">
        <v>22</v>
      </c>
      <c r="B27" s="15">
        <v>707966.88</v>
      </c>
      <c r="C27" s="15">
        <v>1916763.71</v>
      </c>
      <c r="D27" s="15">
        <v>1005836.91</v>
      </c>
      <c r="E27" s="15">
        <v>75118.66</v>
      </c>
      <c r="F27" s="15">
        <v>61169.04</v>
      </c>
      <c r="G27" s="15">
        <v>555999.66</v>
      </c>
      <c r="H27" s="15">
        <v>504955.71</v>
      </c>
      <c r="I27" s="15">
        <v>230938.89</v>
      </c>
      <c r="L27" s="19">
        <f>SUM(B27:K27)</f>
        <v>5058749.46</v>
      </c>
      <c r="M27" s="19">
        <v>3662092</v>
      </c>
      <c r="P27" s="19">
        <v>57610.12</v>
      </c>
      <c r="Q27" s="19">
        <f>L27+N27+O27+P27</f>
        <v>5116359.58</v>
      </c>
      <c r="R27" s="15">
        <v>3698288</v>
      </c>
    </row>
    <row r="28" spans="1:18" ht="11.25" outlineLevel="1">
      <c r="A28" s="2" t="s">
        <v>80</v>
      </c>
      <c r="L28" s="19">
        <f>SUM(B28:K28)</f>
        <v>0</v>
      </c>
      <c r="M28" s="19">
        <v>0</v>
      </c>
      <c r="P28" s="19"/>
      <c r="Q28" s="19">
        <f>L28+N28+O28+P28</f>
        <v>0</v>
      </c>
      <c r="R28" s="15">
        <v>0</v>
      </c>
    </row>
    <row r="29" spans="1:18" ht="11.25" outlineLevel="1">
      <c r="A29" s="15" t="s">
        <v>37</v>
      </c>
      <c r="B29" s="15">
        <v>3241.19</v>
      </c>
      <c r="C29" s="15">
        <v>178.19</v>
      </c>
      <c r="D29" s="15">
        <v>41213.94</v>
      </c>
      <c r="F29" s="15">
        <v>-0.07</v>
      </c>
      <c r="G29" s="15">
        <v>4258.12</v>
      </c>
      <c r="H29" s="42">
        <v>36638.04</v>
      </c>
      <c r="I29" s="15">
        <v>-8.23</v>
      </c>
      <c r="L29" s="19">
        <f>SUM(B29:K29)</f>
        <v>85521.18000000001</v>
      </c>
      <c r="M29" s="19">
        <v>124889</v>
      </c>
      <c r="P29" s="19"/>
      <c r="Q29" s="19">
        <f>L29+N29+O29+P29</f>
        <v>85521.18000000001</v>
      </c>
      <c r="R29" s="15">
        <v>124889</v>
      </c>
    </row>
    <row r="31" spans="1:18" ht="11.25">
      <c r="A31" s="14" t="s">
        <v>27</v>
      </c>
      <c r="B31" s="15">
        <v>-617552.08</v>
      </c>
      <c r="C31" s="15">
        <v>4481969.53</v>
      </c>
      <c r="L31" s="19">
        <f>SUM(B31:K31)</f>
        <v>3864417.45</v>
      </c>
      <c r="M31" s="19">
        <v>4737979</v>
      </c>
      <c r="P31" s="19"/>
      <c r="Q31" s="19">
        <f>L31+N31+O31+P31</f>
        <v>3864417.45</v>
      </c>
      <c r="R31" s="15">
        <v>4737979</v>
      </c>
    </row>
    <row r="32" spans="1:17" ht="11.25">
      <c r="A32" s="14"/>
      <c r="Q32" s="19"/>
    </row>
    <row r="33" spans="1:18" s="40" customFormat="1" ht="11.25">
      <c r="A33" s="38" t="s">
        <v>68</v>
      </c>
      <c r="B33" s="40">
        <f aca="true" t="shared" si="3" ref="B33:M33">((B19+B24+B29)/(B17+B18+B22+B23+B27+B28))</f>
        <v>0.046639676127882085</v>
      </c>
      <c r="C33" s="40">
        <f t="shared" si="3"/>
        <v>0.1502916197587078</v>
      </c>
      <c r="D33" s="40">
        <f t="shared" si="3"/>
        <v>0.22359261789220475</v>
      </c>
      <c r="E33" s="40">
        <f t="shared" si="3"/>
        <v>0.20370359687139167</v>
      </c>
      <c r="F33" s="40">
        <f t="shared" si="3"/>
        <v>0.28211904038965074</v>
      </c>
      <c r="G33" s="40">
        <f t="shared" si="3"/>
        <v>0.2699447265415648</v>
      </c>
      <c r="H33" s="40">
        <f t="shared" si="3"/>
        <v>0.2701008559266362</v>
      </c>
      <c r="I33" s="40">
        <f t="shared" si="3"/>
        <v>0.3474215241283664</v>
      </c>
      <c r="J33" s="40">
        <v>0</v>
      </c>
      <c r="K33" s="40">
        <f t="shared" si="3"/>
        <v>0.32345166321676877</v>
      </c>
      <c r="L33" s="40">
        <f t="shared" si="3"/>
        <v>0.21954667780577855</v>
      </c>
      <c r="M33" s="40">
        <f t="shared" si="3"/>
        <v>0.19718760379764905</v>
      </c>
      <c r="N33" s="40">
        <v>0</v>
      </c>
      <c r="O33" s="40">
        <f>((O19+O24+O29)/(O17+O18+O22+O23+O27+O28))</f>
        <v>0.3545553564580451</v>
      </c>
      <c r="P33" s="40">
        <f>((P19+P24+P29)/(P17+P18+P22+P23+P27+P28))</f>
        <v>0.04492535569584555</v>
      </c>
      <c r="Q33" s="40">
        <f>((Q19+Q24+Q29)/(Q17+Q18+Q22+Q23+Q27+Q28))</f>
        <v>0.21250259347068648</v>
      </c>
      <c r="R33" s="40">
        <f>((R19+R24+R29)/(R17+R18+R22+R23+R27+R28))</f>
        <v>0.19402264194243238</v>
      </c>
    </row>
    <row r="34" spans="2:18" ht="11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" thickBot="1">
      <c r="A35" s="8" t="s">
        <v>7</v>
      </c>
      <c r="B35" s="21">
        <f aca="true" t="shared" si="4" ref="B35:R35">+B31+B26+B21+B16+B8</f>
        <v>10192687.614319999</v>
      </c>
      <c r="C35" s="21">
        <f t="shared" si="4"/>
        <v>46287464.090376005</v>
      </c>
      <c r="D35" s="21">
        <f t="shared" si="4"/>
        <v>29810912.47354</v>
      </c>
      <c r="E35" s="21">
        <f t="shared" si="4"/>
        <v>9084705.369688</v>
      </c>
      <c r="F35" s="21">
        <f t="shared" si="4"/>
        <v>1833996.8171759997</v>
      </c>
      <c r="G35" s="21">
        <f t="shared" si="4"/>
        <v>23461664.79192</v>
      </c>
      <c r="H35" s="21">
        <f t="shared" si="4"/>
        <v>6036175.89</v>
      </c>
      <c r="I35" s="21">
        <f t="shared" si="4"/>
        <v>11240923.791712001</v>
      </c>
      <c r="J35" s="21">
        <f t="shared" si="4"/>
        <v>0</v>
      </c>
      <c r="K35" s="21">
        <f t="shared" si="4"/>
        <v>2049173</v>
      </c>
      <c r="L35" s="21">
        <f t="shared" si="4"/>
        <v>139997703.51</v>
      </c>
      <c r="M35" s="21">
        <f t="shared" si="4"/>
        <v>138780835</v>
      </c>
      <c r="N35" s="21">
        <f>+N31+N26+N21+N16+N8</f>
        <v>0</v>
      </c>
      <c r="O35" s="21">
        <f>+O31+O26+O21+O16+O8</f>
        <v>88868.53</v>
      </c>
      <c r="P35" s="21">
        <f>+P31+P26+P21+P16+P8</f>
        <v>4204609.38</v>
      </c>
      <c r="Q35" s="21">
        <f t="shared" si="4"/>
        <v>144291181.42</v>
      </c>
      <c r="R35" s="21">
        <f t="shared" si="4"/>
        <v>142491532</v>
      </c>
    </row>
    <row r="36" ht="12" thickTop="1">
      <c r="F36" s="23" t="s">
        <v>33</v>
      </c>
    </row>
    <row r="37" spans="1:4" ht="11.25">
      <c r="A37" s="8"/>
      <c r="B37" s="2" t="s">
        <v>33</v>
      </c>
      <c r="D37" s="24"/>
    </row>
    <row r="38" spans="2:16" ht="11.25" hidden="1">
      <c r="B38" s="15">
        <f aca="true" t="shared" si="5" ref="B38:L38">B17+B18+B22+B23+B27+B28</f>
        <v>3903120.8</v>
      </c>
      <c r="C38" s="15">
        <f t="shared" si="5"/>
        <v>9760710.36</v>
      </c>
      <c r="D38" s="15">
        <f t="shared" si="5"/>
        <v>9837802.7</v>
      </c>
      <c r="E38" s="15">
        <f t="shared" si="5"/>
        <v>273880.24</v>
      </c>
      <c r="F38" s="15">
        <f t="shared" si="5"/>
        <v>794902.64</v>
      </c>
      <c r="G38" s="15">
        <f t="shared" si="5"/>
        <v>8886789.68</v>
      </c>
      <c r="H38" s="15">
        <f t="shared" si="5"/>
        <v>2738221.83</v>
      </c>
      <c r="I38" s="15">
        <f t="shared" si="5"/>
        <v>4054474.24</v>
      </c>
      <c r="J38" s="15">
        <f t="shared" si="5"/>
        <v>0</v>
      </c>
      <c r="K38" s="15">
        <f t="shared" si="5"/>
        <v>1548355</v>
      </c>
      <c r="L38" s="15">
        <f t="shared" si="5"/>
        <v>41798257.49</v>
      </c>
      <c r="N38" s="15">
        <f>N17+N18+N22+N23+N27+N28</f>
        <v>0</v>
      </c>
      <c r="O38" s="15">
        <f>O17+O18+O22+O23+O27+O28</f>
        <v>65607.16</v>
      </c>
      <c r="P38" s="15">
        <f>P17+P18+P22+P23+P27+P28</f>
        <v>1812597.7800000003</v>
      </c>
    </row>
    <row r="39" ht="11.25">
      <c r="C39" s="2" t="s">
        <v>33</v>
      </c>
    </row>
    <row r="40" spans="2:14" ht="11.25">
      <c r="B40" s="22"/>
      <c r="C40" s="22"/>
      <c r="D40" s="22"/>
      <c r="E40" s="22"/>
      <c r="F40" s="22"/>
      <c r="G40" s="22"/>
      <c r="H40" s="22"/>
      <c r="I40" s="22"/>
      <c r="N40" s="22"/>
    </row>
    <row r="41" spans="2:14" ht="11.25">
      <c r="B41" s="26"/>
      <c r="C41" s="26"/>
      <c r="D41" s="12"/>
      <c r="E41" s="22"/>
      <c r="F41" s="22"/>
      <c r="G41" s="22"/>
      <c r="H41" s="22"/>
      <c r="I41" s="22"/>
      <c r="N41" s="22" t="s">
        <v>33</v>
      </c>
    </row>
    <row r="42" spans="2:14" ht="11.25">
      <c r="B42" s="22"/>
      <c r="C42" s="22"/>
      <c r="D42" s="22"/>
      <c r="E42" s="22"/>
      <c r="F42" s="22"/>
      <c r="G42" s="22"/>
      <c r="H42" s="22"/>
      <c r="I42" s="22"/>
      <c r="N42" s="22"/>
    </row>
    <row r="43" spans="2:14" ht="11.25">
      <c r="B43" s="22"/>
      <c r="C43" s="22"/>
      <c r="D43" s="22"/>
      <c r="E43" s="22"/>
      <c r="F43" s="22"/>
      <c r="G43" s="22"/>
      <c r="H43" s="22"/>
      <c r="I43" s="22"/>
      <c r="N43" s="22"/>
    </row>
    <row r="44" spans="2:14" ht="11.25" hidden="1">
      <c r="B44" s="22"/>
      <c r="C44" s="22"/>
      <c r="D44" s="22"/>
      <c r="E44" s="22"/>
      <c r="F44" s="22"/>
      <c r="G44" s="22"/>
      <c r="H44" s="22"/>
      <c r="I44" s="22"/>
      <c r="N44" s="22"/>
    </row>
    <row r="45" spans="10:18" ht="11.25" hidden="1">
      <c r="J45" s="22"/>
      <c r="K45" s="22"/>
      <c r="L45" s="22"/>
      <c r="M45" s="22"/>
      <c r="P45" s="22"/>
      <c r="Q45" s="22"/>
      <c r="R45" s="22"/>
    </row>
    <row r="46" spans="10:18" ht="11.25" hidden="1">
      <c r="J46" s="22"/>
      <c r="K46" s="22"/>
      <c r="L46" s="22"/>
      <c r="M46" s="22"/>
      <c r="P46" s="22"/>
      <c r="Q46" s="22"/>
      <c r="R46" s="22"/>
    </row>
    <row r="47" spans="15:18" ht="11.25" hidden="1">
      <c r="O47" s="8" t="s">
        <v>58</v>
      </c>
      <c r="Q47" s="27" t="s">
        <v>46</v>
      </c>
      <c r="R47" s="27" t="s">
        <v>47</v>
      </c>
    </row>
    <row r="48" spans="10:18" ht="11.25" hidden="1">
      <c r="J48" s="2"/>
      <c r="K48" s="2"/>
      <c r="L48" s="2"/>
      <c r="M48" s="2"/>
      <c r="O48" s="8"/>
      <c r="P48" s="2"/>
      <c r="Q48" s="27" t="s">
        <v>48</v>
      </c>
      <c r="R48" s="27" t="s">
        <v>49</v>
      </c>
    </row>
    <row r="49" spans="10:16" ht="11.25" hidden="1">
      <c r="J49" s="2"/>
      <c r="K49" s="2"/>
      <c r="L49" s="2"/>
      <c r="M49" s="2"/>
      <c r="O49" s="2"/>
      <c r="P49" s="2"/>
    </row>
    <row r="50" spans="10:18" ht="11.25" hidden="1">
      <c r="J50" s="12"/>
      <c r="K50" s="12"/>
      <c r="L50" s="12"/>
      <c r="M50" s="12"/>
      <c r="O50" s="2" t="s">
        <v>59</v>
      </c>
      <c r="P50" s="12"/>
      <c r="Q50" s="19">
        <f>Q9+Q10+Q11+Q31-Q59</f>
        <v>84993653.48999998</v>
      </c>
      <c r="R50" s="19">
        <v>90606630.97</v>
      </c>
    </row>
    <row r="51" spans="10:18" ht="11.25" hidden="1">
      <c r="J51" s="12"/>
      <c r="K51" s="12"/>
      <c r="L51" s="12"/>
      <c r="M51" s="12"/>
      <c r="O51" s="2" t="s">
        <v>60</v>
      </c>
      <c r="P51" s="12"/>
      <c r="Q51" s="35">
        <f>Q17+Q18+Q22+Q23+Q27+Q28</f>
        <v>43676462.42999999</v>
      </c>
      <c r="R51" s="20">
        <v>46173714</v>
      </c>
    </row>
    <row r="52" spans="10:16" ht="11.25" hidden="1">
      <c r="J52" s="12"/>
      <c r="K52" s="12"/>
      <c r="L52" s="12"/>
      <c r="M52" s="12"/>
      <c r="O52" s="2"/>
      <c r="P52" s="12"/>
    </row>
    <row r="53" spans="10:18" ht="12" hidden="1" thickBot="1">
      <c r="J53" s="12"/>
      <c r="K53" s="12"/>
      <c r="L53" s="12"/>
      <c r="M53" s="12"/>
      <c r="O53" s="2" t="s">
        <v>61</v>
      </c>
      <c r="P53" s="12"/>
      <c r="Q53" s="21">
        <f>+Q50+Q51</f>
        <v>128670115.91999997</v>
      </c>
      <c r="R53" s="21">
        <f>+R50+R51</f>
        <v>136780344.97</v>
      </c>
    </row>
    <row r="54" spans="10:16" ht="11.25" hidden="1">
      <c r="J54" s="12"/>
      <c r="K54" s="12"/>
      <c r="L54" s="12"/>
      <c r="M54" s="12"/>
      <c r="O54" s="2"/>
      <c r="P54" s="12"/>
    </row>
    <row r="55" spans="10:18" ht="11.25" hidden="1">
      <c r="J55" s="2"/>
      <c r="K55" s="2"/>
      <c r="L55" s="2"/>
      <c r="M55" s="2"/>
      <c r="O55" s="15" t="s">
        <v>34</v>
      </c>
      <c r="P55" s="2"/>
      <c r="Q55" s="19">
        <f>Q12</f>
        <v>5617494.641228</v>
      </c>
      <c r="R55" s="15">
        <f>Q12</f>
        <v>5617494.641228</v>
      </c>
    </row>
    <row r="56" spans="10:18" ht="11.25" hidden="1">
      <c r="J56" s="2"/>
      <c r="K56" s="2"/>
      <c r="L56" s="2"/>
      <c r="M56" s="2"/>
      <c r="O56" s="15" t="s">
        <v>35</v>
      </c>
      <c r="P56" s="2"/>
      <c r="Q56" s="29"/>
      <c r="R56" s="22"/>
    </row>
    <row r="57" spans="10:18" ht="11.25" hidden="1">
      <c r="J57" s="2"/>
      <c r="K57" s="2"/>
      <c r="L57" s="2"/>
      <c r="M57" s="2"/>
      <c r="O57" s="15" t="s">
        <v>37</v>
      </c>
      <c r="P57" s="2"/>
      <c r="Q57" s="29">
        <f>Q19+Q24+Q29</f>
        <v>9281361.54</v>
      </c>
      <c r="R57" s="22">
        <f>Q19+Q24+Q29</f>
        <v>9281361.54</v>
      </c>
    </row>
    <row r="58" spans="10:18" ht="11.25" hidden="1">
      <c r="J58" s="12"/>
      <c r="K58" s="12"/>
      <c r="L58" s="12"/>
      <c r="M58" s="12"/>
      <c r="O58" s="15" t="s">
        <v>36</v>
      </c>
      <c r="P58" s="12"/>
      <c r="Q58" s="29">
        <f>Q13</f>
        <v>722209.8</v>
      </c>
      <c r="R58" s="22">
        <f>Q13</f>
        <v>722209.8</v>
      </c>
    </row>
    <row r="59" spans="10:18" ht="11.25" hidden="1">
      <c r="J59" s="12"/>
      <c r="K59" s="12"/>
      <c r="L59" s="12"/>
      <c r="M59" s="12"/>
      <c r="O59" s="2" t="s">
        <v>62</v>
      </c>
      <c r="P59" s="12"/>
      <c r="Q59" s="29">
        <v>0</v>
      </c>
      <c r="R59" s="29">
        <v>0</v>
      </c>
    </row>
    <row r="60" spans="10:18" ht="11.25" hidden="1">
      <c r="J60" s="12"/>
      <c r="K60" s="12"/>
      <c r="L60" s="12"/>
      <c r="M60" s="12"/>
      <c r="O60" s="2" t="s">
        <v>69</v>
      </c>
      <c r="P60" s="12"/>
      <c r="Q60" s="29"/>
      <c r="R60" s="29">
        <v>0</v>
      </c>
    </row>
    <row r="61" spans="10:18" ht="11.25" hidden="1">
      <c r="J61" s="12"/>
      <c r="K61" s="12"/>
      <c r="L61" s="12"/>
      <c r="M61" s="12"/>
      <c r="O61" s="2" t="s">
        <v>70</v>
      </c>
      <c r="P61" s="12"/>
      <c r="Q61" s="29"/>
      <c r="R61" s="29"/>
    </row>
    <row r="62" spans="10:18" ht="11.25" hidden="1">
      <c r="J62" s="12"/>
      <c r="K62" s="12"/>
      <c r="L62" s="12"/>
      <c r="M62" s="12"/>
      <c r="O62" s="2" t="s">
        <v>71</v>
      </c>
      <c r="P62" s="12"/>
      <c r="Q62" s="29"/>
      <c r="R62" s="29">
        <v>0</v>
      </c>
    </row>
    <row r="63" spans="10:18" ht="11.25" hidden="1">
      <c r="J63" s="12"/>
      <c r="K63" s="12"/>
      <c r="L63" s="12"/>
      <c r="M63" s="12"/>
      <c r="O63" s="2" t="s">
        <v>56</v>
      </c>
      <c r="P63" s="12"/>
      <c r="Q63" s="20"/>
      <c r="R63" s="20">
        <v>0</v>
      </c>
    </row>
    <row r="64" spans="10:16" ht="11.25" hidden="1">
      <c r="J64" s="12"/>
      <c r="K64" s="12"/>
      <c r="L64" s="12"/>
      <c r="M64" s="12"/>
      <c r="O64" s="2"/>
      <c r="P64" s="12"/>
    </row>
    <row r="65" spans="10:18" ht="12" hidden="1" thickBot="1">
      <c r="J65" s="12"/>
      <c r="K65" s="12"/>
      <c r="L65" s="12"/>
      <c r="M65" s="12"/>
      <c r="O65" s="2" t="s">
        <v>7</v>
      </c>
      <c r="P65" s="12"/>
      <c r="Q65" s="21">
        <f>SUM(Q53:Q63)</f>
        <v>144291181.90122798</v>
      </c>
      <c r="R65" s="21">
        <f>SUM(R53:R63)</f>
        <v>152401410.951228</v>
      </c>
    </row>
    <row r="66" spans="10:18" ht="11.25" hidden="1">
      <c r="J66" s="22"/>
      <c r="K66" s="22"/>
      <c r="L66" s="22"/>
      <c r="M66" s="22"/>
      <c r="P66" s="22"/>
      <c r="Q66" s="15">
        <f>Q35-Q65</f>
        <v>-0.4812279939651489</v>
      </c>
      <c r="R66" s="15">
        <f>Q65-R65</f>
        <v>-8110229.050000012</v>
      </c>
    </row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5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68"/>
  <sheetViews>
    <sheetView zoomScalePageLayoutView="0" workbookViewId="0" topLeftCell="A1">
      <pane xSplit="1" ySplit="6" topLeftCell="D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A28" sqref="A28"/>
    </sheetView>
  </sheetViews>
  <sheetFormatPr defaultColWidth="9.140625" defaultRowHeight="12.75" outlineLevelRow="1"/>
  <cols>
    <col min="1" max="1" width="18.8515625" style="15" customWidth="1"/>
    <col min="2" max="2" width="11.28125" style="15" customWidth="1"/>
    <col min="3" max="3" width="9.421875" style="15" customWidth="1"/>
    <col min="4" max="4" width="10.00390625" style="15" customWidth="1"/>
    <col min="5" max="5" width="10.28125" style="15" customWidth="1"/>
    <col min="6" max="6" width="11.00390625" style="15" customWidth="1"/>
    <col min="7" max="7" width="10.57421875" style="15" customWidth="1"/>
    <col min="8" max="8" width="8.140625" style="15" bestFit="1" customWidth="1"/>
    <col min="9" max="9" width="10.140625" style="15" customWidth="1"/>
    <col min="10" max="10" width="6.28125" style="15" bestFit="1" customWidth="1"/>
    <col min="11" max="11" width="9.8515625" style="15" bestFit="1" customWidth="1"/>
    <col min="12" max="13" width="10.00390625" style="15" customWidth="1"/>
    <col min="14" max="14" width="9.140625" style="15" customWidth="1"/>
    <col min="15" max="15" width="10.140625" style="15" customWidth="1"/>
    <col min="16" max="17" width="10.00390625" style="15" customWidth="1"/>
    <col min="18" max="18" width="8.8515625" style="15" bestFit="1" customWidth="1"/>
    <col min="19" max="16384" width="9.140625" style="15" customWidth="1"/>
  </cols>
  <sheetData>
    <row r="1" spans="1:18" ht="11.25">
      <c r="A1" s="8" t="s">
        <v>76</v>
      </c>
      <c r="H1" s="13"/>
      <c r="R1" s="32" t="s">
        <v>42</v>
      </c>
    </row>
    <row r="2" ht="11.25">
      <c r="A2" s="14" t="s">
        <v>31</v>
      </c>
    </row>
    <row r="3" ht="11.25">
      <c r="R3" s="28" t="s">
        <v>33</v>
      </c>
    </row>
    <row r="4" spans="1:18" ht="11.25">
      <c r="A4" s="14" t="s">
        <v>40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16"/>
      <c r="L4" s="37" t="s">
        <v>77</v>
      </c>
      <c r="M4" s="37" t="s">
        <v>75</v>
      </c>
      <c r="N4" s="16"/>
      <c r="O4" s="16"/>
      <c r="P4" s="16" t="s">
        <v>29</v>
      </c>
      <c r="Q4" s="37" t="s">
        <v>77</v>
      </c>
      <c r="R4" s="37" t="s">
        <v>75</v>
      </c>
    </row>
    <row r="5" spans="2:18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37" t="s">
        <v>33</v>
      </c>
      <c r="K5" s="37"/>
      <c r="L5" s="37" t="s">
        <v>74</v>
      </c>
      <c r="M5" s="37" t="s">
        <v>74</v>
      </c>
      <c r="N5" s="16"/>
      <c r="O5" s="16" t="s">
        <v>6</v>
      </c>
      <c r="P5" s="16" t="s">
        <v>30</v>
      </c>
      <c r="Q5" s="16" t="s">
        <v>44</v>
      </c>
      <c r="R5" s="16" t="s">
        <v>7</v>
      </c>
    </row>
    <row r="6" spans="2:18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4" t="s">
        <v>79</v>
      </c>
      <c r="L6" s="37" t="s">
        <v>73</v>
      </c>
      <c r="M6" s="37" t="s">
        <v>73</v>
      </c>
      <c r="N6" s="17" t="s">
        <v>14</v>
      </c>
      <c r="O6" s="17" t="s">
        <v>16</v>
      </c>
      <c r="P6" s="17" t="s">
        <v>10</v>
      </c>
      <c r="Q6" s="30" t="s">
        <v>8</v>
      </c>
      <c r="R6" s="17" t="s">
        <v>8</v>
      </c>
    </row>
    <row r="7" spans="1:17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1.25" customHeight="1">
      <c r="A8" s="8" t="s">
        <v>18</v>
      </c>
      <c r="B8" s="15">
        <f aca="true" t="shared" si="0" ref="B8:R8">SUM(B9:B13)</f>
        <v>391393.31</v>
      </c>
      <c r="C8" s="15">
        <f t="shared" si="0"/>
        <v>49957.82765</v>
      </c>
      <c r="D8" s="15">
        <f t="shared" si="0"/>
        <v>235728.14402000004</v>
      </c>
      <c r="E8" s="15">
        <f t="shared" si="0"/>
        <v>0</v>
      </c>
      <c r="F8" s="15">
        <f t="shared" si="0"/>
        <v>245210.99</v>
      </c>
      <c r="G8" s="15">
        <f t="shared" si="0"/>
        <v>288613.68</v>
      </c>
      <c r="H8" s="15">
        <f t="shared" si="0"/>
        <v>71300.51999999999</v>
      </c>
      <c r="I8" s="15">
        <f t="shared" si="0"/>
        <v>463487.67672</v>
      </c>
      <c r="J8" s="15">
        <f t="shared" si="0"/>
        <v>0</v>
      </c>
      <c r="K8" s="15">
        <f t="shared" si="0"/>
        <v>115065.47</v>
      </c>
      <c r="L8" s="15">
        <f t="shared" si="0"/>
        <v>1860757.61839</v>
      </c>
      <c r="M8" s="15">
        <f t="shared" si="0"/>
        <v>1589392</v>
      </c>
      <c r="N8" s="15">
        <f>SUM(N9:N13)</f>
        <v>230949.08437499998</v>
      </c>
      <c r="O8" s="15">
        <f>SUM(O9:O13)</f>
        <v>5018559.134244</v>
      </c>
      <c r="P8" s="15">
        <f>SUM(P9:P13)</f>
        <v>1678933.978272</v>
      </c>
      <c r="Q8" s="15">
        <f t="shared" si="0"/>
        <v>8789199.815281</v>
      </c>
      <c r="R8" s="15">
        <f t="shared" si="0"/>
        <v>9324690</v>
      </c>
    </row>
    <row r="9" spans="1:18" s="19" customFormat="1" ht="11.25" customHeight="1">
      <c r="A9" s="19" t="s">
        <v>19</v>
      </c>
      <c r="D9" s="45"/>
      <c r="K9" s="19">
        <v>8957.54</v>
      </c>
      <c r="L9" s="19">
        <f>SUM(B9:K9)</f>
        <v>8957.54</v>
      </c>
      <c r="M9" s="19">
        <v>71122</v>
      </c>
      <c r="Q9" s="19">
        <f>L9+N9+O9+P9</f>
        <v>8957.54</v>
      </c>
      <c r="R9" s="19">
        <v>71122</v>
      </c>
    </row>
    <row r="10" spans="1:18" s="19" customFormat="1" ht="11.25" customHeight="1" outlineLevel="1">
      <c r="A10" s="19" t="s">
        <v>20</v>
      </c>
      <c r="B10" s="19">
        <v>2034.46</v>
      </c>
      <c r="D10" s="19">
        <v>13188.54</v>
      </c>
      <c r="G10" s="19">
        <v>47243.48</v>
      </c>
      <c r="H10" s="19">
        <v>6342.41</v>
      </c>
      <c r="L10" s="19">
        <f>SUM(B10:K10)</f>
        <v>68808.89</v>
      </c>
      <c r="M10" s="19">
        <v>40734</v>
      </c>
      <c r="P10" s="19">
        <v>710915.25</v>
      </c>
      <c r="Q10" s="19">
        <f>L10+N10+O10+P10</f>
        <v>779724.14</v>
      </c>
      <c r="R10" s="19">
        <v>466362</v>
      </c>
    </row>
    <row r="11" spans="1:18" ht="11.25" outlineLevel="1">
      <c r="A11" s="15" t="s">
        <v>21</v>
      </c>
      <c r="L11" s="19">
        <f>SUM(B11:K11)</f>
        <v>0</v>
      </c>
      <c r="M11" s="19">
        <v>0</v>
      </c>
      <c r="Q11" s="19">
        <f>L11+N11+O11+P11</f>
        <v>0</v>
      </c>
      <c r="R11" s="15">
        <v>0</v>
      </c>
    </row>
    <row r="12" spans="1:18" ht="11.25" outlineLevel="1">
      <c r="A12" s="2" t="s">
        <v>72</v>
      </c>
      <c r="B12" s="19">
        <v>388242.18</v>
      </c>
      <c r="C12" s="19">
        <f>(0.095*(C17+C18+C22+C23+C27+C28))</f>
        <v>49957.82765</v>
      </c>
      <c r="D12" s="19">
        <f>(0.234*(D17+D18+D22+D23+D27+D28))</f>
        <v>215298.84402000002</v>
      </c>
      <c r="E12" s="19">
        <f>(0*(E17+E18+E22+E23+E27+E28))</f>
        <v>0</v>
      </c>
      <c r="F12" s="19">
        <v>245210.99</v>
      </c>
      <c r="G12" s="19">
        <v>215433.79</v>
      </c>
      <c r="H12" s="19">
        <v>61476.35</v>
      </c>
      <c r="I12" s="19">
        <f>(0.232*(I17+I18+I22+I23+I27+I28))</f>
        <v>463487.67672</v>
      </c>
      <c r="J12" s="19"/>
      <c r="K12" s="19">
        <v>106107.93</v>
      </c>
      <c r="L12" s="19">
        <f>SUM(B12:K12)</f>
        <v>1745215.58839</v>
      </c>
      <c r="M12" s="19">
        <v>1455173</v>
      </c>
      <c r="N12" s="19">
        <f>(0.3125*(N17+N18+N22+N23+N27+N28))</f>
        <v>230949.08437499998</v>
      </c>
      <c r="O12" s="19">
        <f>(0.2622*(O17+O18+O22+O23+O27+O28))</f>
        <v>5018559.134244</v>
      </c>
      <c r="P12" s="19">
        <f>(0.0816*(P17+P18+P22+P23+P27+P28))</f>
        <v>771806.188272</v>
      </c>
      <c r="Q12" s="19">
        <f>L12+N12+O12+P12</f>
        <v>7766529.995281</v>
      </c>
      <c r="R12" s="15">
        <v>8647370</v>
      </c>
    </row>
    <row r="13" spans="1:18" ht="11.25" outlineLevel="1">
      <c r="A13" s="15" t="s">
        <v>36</v>
      </c>
      <c r="B13" s="15">
        <v>1116.67</v>
      </c>
      <c r="D13" s="15">
        <v>7240.76</v>
      </c>
      <c r="G13" s="15">
        <v>25936.41</v>
      </c>
      <c r="H13" s="15">
        <v>3481.76</v>
      </c>
      <c r="L13" s="19">
        <f>SUM(B13:K13)</f>
        <v>37775.6</v>
      </c>
      <c r="M13" s="19">
        <v>22363</v>
      </c>
      <c r="P13" s="15">
        <v>196212.54</v>
      </c>
      <c r="Q13" s="19">
        <f>L13+N13+O13+P13</f>
        <v>233988.14</v>
      </c>
      <c r="R13" s="15">
        <v>139836</v>
      </c>
    </row>
    <row r="14" spans="12:17" s="40" customFormat="1" ht="11.25" hidden="1" outlineLevel="1">
      <c r="L14" s="43"/>
      <c r="M14" s="43"/>
      <c r="Q14" s="43"/>
    </row>
    <row r="16" spans="1:19" ht="11.25">
      <c r="A16" s="14" t="s">
        <v>25</v>
      </c>
      <c r="B16" s="15">
        <f aca="true" t="shared" si="1" ref="B16:R16">SUM(B17:B19)</f>
        <v>366775.55</v>
      </c>
      <c r="C16" s="15">
        <f t="shared" si="1"/>
        <v>87380.04999999999</v>
      </c>
      <c r="D16" s="15">
        <f t="shared" si="1"/>
        <v>494000.96</v>
      </c>
      <c r="E16" s="15">
        <f t="shared" si="1"/>
        <v>0</v>
      </c>
      <c r="F16" s="15">
        <f t="shared" si="1"/>
        <v>382967.08</v>
      </c>
      <c r="G16" s="15">
        <f t="shared" si="1"/>
        <v>392.58</v>
      </c>
      <c r="H16" s="15">
        <f t="shared" si="1"/>
        <v>2795.52</v>
      </c>
      <c r="I16" s="15">
        <f t="shared" si="1"/>
        <v>2116739.51</v>
      </c>
      <c r="J16" s="15">
        <f t="shared" si="1"/>
        <v>0</v>
      </c>
      <c r="K16" s="15">
        <f t="shared" si="1"/>
        <v>0</v>
      </c>
      <c r="L16" s="15">
        <f t="shared" si="1"/>
        <v>3451051.25</v>
      </c>
      <c r="M16" s="15">
        <f t="shared" si="1"/>
        <v>3345856</v>
      </c>
      <c r="N16" s="15">
        <f>SUM(N17:N19)</f>
        <v>221876.96</v>
      </c>
      <c r="O16" s="15">
        <f>SUM(O17:O19)</f>
        <v>334000.67</v>
      </c>
      <c r="P16" s="15">
        <f>SUM(P17:P19)</f>
        <v>904992.39</v>
      </c>
      <c r="Q16" s="15">
        <f t="shared" si="1"/>
        <v>4911921.27</v>
      </c>
      <c r="R16" s="15">
        <f t="shared" si="1"/>
        <v>6869606</v>
      </c>
      <c r="S16" s="15" t="e">
        <f>SUM(#REF!+#REF!+#REF!+#REF!)</f>
        <v>#REF!</v>
      </c>
    </row>
    <row r="17" spans="1:18" ht="11.25" outlineLevel="1">
      <c r="A17" s="15" t="s">
        <v>22</v>
      </c>
      <c r="B17" s="15">
        <v>367475.55</v>
      </c>
      <c r="C17" s="15">
        <f>83381.79+3998.26</f>
        <v>87380.04999999999</v>
      </c>
      <c r="D17" s="15">
        <v>469449.27</v>
      </c>
      <c r="F17" s="15">
        <v>382967.08</v>
      </c>
      <c r="G17" s="15">
        <v>392.58</v>
      </c>
      <c r="H17" s="15">
        <v>2662.43</v>
      </c>
      <c r="I17" s="15">
        <v>1997791.71</v>
      </c>
      <c r="L17" s="19">
        <f>SUM(B17:K17)</f>
        <v>3308118.67</v>
      </c>
      <c r="M17" s="19">
        <v>3178509</v>
      </c>
      <c r="N17" s="15">
        <v>221876.96</v>
      </c>
      <c r="O17" s="15">
        <v>332356.87</v>
      </c>
      <c r="P17" s="15">
        <v>892013.67</v>
      </c>
      <c r="Q17" s="19">
        <f>L17+N17+O17+P17</f>
        <v>4754366.17</v>
      </c>
      <c r="R17" s="15">
        <v>6688376</v>
      </c>
    </row>
    <row r="18" spans="1:18" ht="11.25" outlineLevel="1">
      <c r="A18" s="2" t="s">
        <v>80</v>
      </c>
      <c r="L18" s="19">
        <f>SUM(B18:K18)</f>
        <v>0</v>
      </c>
      <c r="M18" s="19">
        <v>0</v>
      </c>
      <c r="Q18" s="19">
        <f>L18+N18+O18+P18</f>
        <v>0</v>
      </c>
      <c r="R18" s="15">
        <v>0</v>
      </c>
    </row>
    <row r="19" spans="1:18" ht="11.25" outlineLevel="1">
      <c r="A19" s="15" t="s">
        <v>37</v>
      </c>
      <c r="B19" s="15">
        <v>-700</v>
      </c>
      <c r="D19" s="15">
        <v>24551.69</v>
      </c>
      <c r="H19" s="15">
        <v>133.09</v>
      </c>
      <c r="I19" s="15">
        <v>118947.8</v>
      </c>
      <c r="L19" s="19">
        <f>SUM(B19:K19)</f>
        <v>142932.58000000002</v>
      </c>
      <c r="M19" s="19">
        <v>167347</v>
      </c>
      <c r="O19" s="15">
        <v>1643.8</v>
      </c>
      <c r="P19" s="15">
        <v>12978.72</v>
      </c>
      <c r="Q19" s="19">
        <f>L19+N19+O19+P19</f>
        <v>157555.1</v>
      </c>
      <c r="R19" s="15">
        <v>181230</v>
      </c>
    </row>
    <row r="21" spans="1:18" ht="11.25">
      <c r="A21" s="14" t="s">
        <v>23</v>
      </c>
      <c r="B21" s="15">
        <f aca="true" t="shared" si="2" ref="B21:R21">SUM(B22:B24)</f>
        <v>2467010.96</v>
      </c>
      <c r="C21" s="15">
        <f t="shared" si="2"/>
        <v>522123.91000000003</v>
      </c>
      <c r="D21" s="15">
        <f t="shared" si="2"/>
        <v>463800.94999999995</v>
      </c>
      <c r="E21" s="15">
        <f t="shared" si="2"/>
        <v>6837.130000000001</v>
      </c>
      <c r="F21" s="15">
        <f t="shared" si="2"/>
        <v>171483.88999999998</v>
      </c>
      <c r="G21" s="15">
        <f t="shared" si="2"/>
        <v>361533.75</v>
      </c>
      <c r="H21" s="15">
        <f t="shared" si="2"/>
        <v>64686.59</v>
      </c>
      <c r="I21" s="15">
        <f t="shared" si="2"/>
        <v>0</v>
      </c>
      <c r="J21" s="15">
        <f t="shared" si="2"/>
        <v>0</v>
      </c>
      <c r="K21" s="15">
        <f t="shared" si="2"/>
        <v>6141336.64</v>
      </c>
      <c r="L21" s="15">
        <f t="shared" si="2"/>
        <v>10198813.82</v>
      </c>
      <c r="M21" s="15">
        <f t="shared" si="2"/>
        <v>9414993</v>
      </c>
      <c r="N21" s="15">
        <f>SUM(N22:N24)</f>
        <v>518020.16000000003</v>
      </c>
      <c r="O21" s="15">
        <f>SUM(O22:O24)</f>
        <v>19607122.38</v>
      </c>
      <c r="P21" s="15">
        <f>SUM(P22:P24)</f>
        <v>6544497.83</v>
      </c>
      <c r="Q21" s="15">
        <f t="shared" si="2"/>
        <v>36868454.19</v>
      </c>
      <c r="R21" s="15">
        <f t="shared" si="2"/>
        <v>35704153</v>
      </c>
    </row>
    <row r="22" spans="1:18" ht="11.25" outlineLevel="1">
      <c r="A22" s="15" t="s">
        <v>22</v>
      </c>
      <c r="B22" s="15">
        <v>2331098.59</v>
      </c>
      <c r="C22" s="15">
        <v>438479.46</v>
      </c>
      <c r="D22" s="15">
        <v>438665.22</v>
      </c>
      <c r="E22" s="15">
        <v>4678.52</v>
      </c>
      <c r="F22" s="15">
        <v>158689.33</v>
      </c>
      <c r="G22" s="15">
        <v>353508.12</v>
      </c>
      <c r="H22" s="15">
        <v>64686.59</v>
      </c>
      <c r="L22" s="19">
        <f>SUM(B22:K22)</f>
        <v>3789805.8299999996</v>
      </c>
      <c r="M22" s="19">
        <v>4209063</v>
      </c>
      <c r="N22" s="15">
        <v>490115.27</v>
      </c>
      <c r="O22" s="15">
        <v>18724221.11</v>
      </c>
      <c r="P22" s="15">
        <v>5732243.55</v>
      </c>
      <c r="Q22" s="19">
        <f>L22+N22+O22+P22</f>
        <v>28736385.76</v>
      </c>
      <c r="R22" s="15">
        <v>28840037</v>
      </c>
    </row>
    <row r="23" spans="1:18" ht="11.25" outlineLevel="1">
      <c r="A23" s="2" t="s">
        <v>80</v>
      </c>
      <c r="K23" s="15">
        <v>5193608.43</v>
      </c>
      <c r="L23" s="19">
        <f>SUM(B23:K23)</f>
        <v>5193608.43</v>
      </c>
      <c r="M23" s="19">
        <v>4127926</v>
      </c>
      <c r="Q23" s="19">
        <f>L23+N23+O23+P23</f>
        <v>5193608.43</v>
      </c>
      <c r="R23" s="15">
        <v>4127926</v>
      </c>
    </row>
    <row r="24" spans="1:18" ht="11.25" outlineLevel="1">
      <c r="A24" s="15" t="s">
        <v>37</v>
      </c>
      <c r="B24" s="15">
        <v>135912.37</v>
      </c>
      <c r="C24" s="15">
        <v>83644.45</v>
      </c>
      <c r="D24" s="15">
        <v>25135.73</v>
      </c>
      <c r="E24" s="15">
        <v>2158.61</v>
      </c>
      <c r="F24" s="15">
        <v>12794.56</v>
      </c>
      <c r="G24" s="15">
        <v>8025.63</v>
      </c>
      <c r="K24" s="15">
        <v>947728.21</v>
      </c>
      <c r="L24" s="19">
        <f>SUM(B24:K24)</f>
        <v>1215399.56</v>
      </c>
      <c r="M24" s="19">
        <v>1078004</v>
      </c>
      <c r="N24" s="15">
        <v>27904.89</v>
      </c>
      <c r="O24" s="15">
        <v>882901.27</v>
      </c>
      <c r="P24" s="15">
        <v>812254.28</v>
      </c>
      <c r="Q24" s="19">
        <f>L24+N24+O24+P24</f>
        <v>2938460</v>
      </c>
      <c r="R24" s="15">
        <v>2736190</v>
      </c>
    </row>
    <row r="26" spans="1:18" ht="11.25">
      <c r="A26" s="14" t="s">
        <v>24</v>
      </c>
      <c r="B26" s="15">
        <f aca="true" t="shared" si="3" ref="B26:R26">SUM(B27:B29)</f>
        <v>4900.38</v>
      </c>
      <c r="C26" s="15">
        <f t="shared" si="3"/>
        <v>12.36</v>
      </c>
      <c r="D26" s="15">
        <f t="shared" si="3"/>
        <v>11966.04</v>
      </c>
      <c r="E26" s="15">
        <f t="shared" si="3"/>
        <v>0</v>
      </c>
      <c r="F26" s="15">
        <f t="shared" si="3"/>
        <v>50922.42</v>
      </c>
      <c r="G26" s="15">
        <f t="shared" si="3"/>
        <v>0</v>
      </c>
      <c r="H26" s="15">
        <f t="shared" si="3"/>
        <v>988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68789.2</v>
      </c>
      <c r="M26" s="15">
        <f t="shared" si="3"/>
        <v>113783</v>
      </c>
      <c r="N26" s="15">
        <f>SUM(N27:N29)</f>
        <v>27044.84</v>
      </c>
      <c r="O26" s="15">
        <f>SUM(O27:O29)</f>
        <v>83617.04</v>
      </c>
      <c r="P26" s="15">
        <f>SUM(P27:P29)</f>
        <v>2895955.24</v>
      </c>
      <c r="Q26" s="15">
        <f t="shared" si="3"/>
        <v>3075406.3200000003</v>
      </c>
      <c r="R26" s="15">
        <f t="shared" si="3"/>
        <v>2485005</v>
      </c>
    </row>
    <row r="27" spans="1:18" ht="11.25" outlineLevel="1">
      <c r="A27" s="15" t="s">
        <v>22</v>
      </c>
      <c r="B27" s="15">
        <v>4900.38</v>
      </c>
      <c r="C27" s="15">
        <v>12.36</v>
      </c>
      <c r="D27" s="15">
        <v>11966.04</v>
      </c>
      <c r="F27" s="15">
        <v>50922.42</v>
      </c>
      <c r="L27" s="19">
        <f>SUM(B27:K27)</f>
        <v>67801.2</v>
      </c>
      <c r="M27" s="19">
        <v>113783</v>
      </c>
      <c r="N27" s="15">
        <v>27044.84</v>
      </c>
      <c r="O27" s="15">
        <v>83617.04</v>
      </c>
      <c r="P27" s="15">
        <v>2834151.95</v>
      </c>
      <c r="Q27" s="19">
        <f>L27+N27+O27+P27</f>
        <v>3012615.0300000003</v>
      </c>
      <c r="R27" s="15">
        <v>2442523</v>
      </c>
    </row>
    <row r="28" spans="1:18" ht="11.25" outlineLevel="1">
      <c r="A28" s="2" t="s">
        <v>80</v>
      </c>
      <c r="L28" s="19">
        <f>SUM(B28:K28)</f>
        <v>0</v>
      </c>
      <c r="M28" s="19">
        <v>0</v>
      </c>
      <c r="Q28" s="19">
        <f>L28+N28+O28+P28</f>
        <v>0</v>
      </c>
      <c r="R28" s="15">
        <v>0</v>
      </c>
    </row>
    <row r="29" spans="1:18" ht="11.25" outlineLevel="1">
      <c r="A29" s="15" t="s">
        <v>37</v>
      </c>
      <c r="H29" s="15">
        <v>988</v>
      </c>
      <c r="L29" s="19">
        <f>SUM(B29:K29)</f>
        <v>988</v>
      </c>
      <c r="M29" s="19">
        <v>0</v>
      </c>
      <c r="P29" s="15">
        <v>61803.29</v>
      </c>
      <c r="Q29" s="19">
        <f>L29+N29+O29+P29</f>
        <v>62791.29</v>
      </c>
      <c r="R29" s="15">
        <v>42482</v>
      </c>
    </row>
    <row r="31" spans="1:18" ht="11.25">
      <c r="A31" s="14" t="s">
        <v>27</v>
      </c>
      <c r="L31" s="19">
        <f>SUM(B31:K31)</f>
        <v>0</v>
      </c>
      <c r="M31" s="19">
        <v>0</v>
      </c>
      <c r="Q31" s="19">
        <f>L31+N31+O31+P31</f>
        <v>0</v>
      </c>
      <c r="R31" s="15">
        <v>0</v>
      </c>
    </row>
    <row r="32" spans="1:17" ht="11.25">
      <c r="A32" s="14"/>
      <c r="Q32" s="19"/>
    </row>
    <row r="33" spans="1:18" s="40" customFormat="1" ht="11.25">
      <c r="A33" s="38" t="s">
        <v>68</v>
      </c>
      <c r="B33" s="40">
        <f aca="true" t="shared" si="4" ref="B33:M33">((B19+B24+B29)/(B17+B18+B22+B23+B27+B28))</f>
        <v>0.050014294197971584</v>
      </c>
      <c r="C33" s="40">
        <f t="shared" si="4"/>
        <v>0.15905861250954534</v>
      </c>
      <c r="D33" s="40">
        <f t="shared" si="4"/>
        <v>0.054003338164323504</v>
      </c>
      <c r="E33" s="40">
        <v>0</v>
      </c>
      <c r="F33" s="40">
        <f t="shared" si="4"/>
        <v>0.02159132144494598</v>
      </c>
      <c r="G33" s="40">
        <f t="shared" si="4"/>
        <v>0.0226776324545275</v>
      </c>
      <c r="H33" s="40">
        <f t="shared" si="4"/>
        <v>0.016645973467765383</v>
      </c>
      <c r="I33" s="40">
        <f t="shared" si="4"/>
        <v>0.05953964039624531</v>
      </c>
      <c r="J33" s="40">
        <v>0</v>
      </c>
      <c r="K33" s="40">
        <v>0</v>
      </c>
      <c r="L33" s="40">
        <f t="shared" si="4"/>
        <v>0.10998328273207711</v>
      </c>
      <c r="M33" s="40">
        <f t="shared" si="4"/>
        <v>0.10708753189470613</v>
      </c>
      <c r="N33" s="40">
        <f>((N19+N24+N29)/(N17+N18+N22+N23+N27+N28))</f>
        <v>0.03775844424150469</v>
      </c>
      <c r="O33" s="40">
        <f>((O19+O24+O29)/(O17+O18+O22+O23+O27+O28))</f>
        <v>0.046214005085931466</v>
      </c>
      <c r="P33" s="40">
        <f>((P19+P24+P29)/(P17+P18+P22+P23+P27+P28))</f>
        <v>0.0937828205628368</v>
      </c>
      <c r="Q33" s="40">
        <f>((Q19+Q24+Q29)/(Q17+Q18+Q22+Q23+Q27+Q28))</f>
        <v>0.07575624755644897</v>
      </c>
      <c r="R33" s="40">
        <f>((R19+R24+R29)/(R17+R18+R22+R23+R27+R28))</f>
        <v>0.0703083613043982</v>
      </c>
    </row>
    <row r="34" spans="2:18" ht="11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" thickBot="1">
      <c r="A35" s="8" t="s">
        <v>7</v>
      </c>
      <c r="B35" s="21">
        <f aca="true" t="shared" si="5" ref="B35:R35">+B31+B26+B21+B16+B8</f>
        <v>3230080.1999999997</v>
      </c>
      <c r="C35" s="21">
        <f t="shared" si="5"/>
        <v>659474.14765</v>
      </c>
      <c r="D35" s="21">
        <f t="shared" si="5"/>
        <v>1205496.09402</v>
      </c>
      <c r="E35" s="21">
        <f t="shared" si="5"/>
        <v>6837.130000000001</v>
      </c>
      <c r="F35" s="21">
        <f t="shared" si="5"/>
        <v>850584.38</v>
      </c>
      <c r="G35" s="21">
        <f t="shared" si="5"/>
        <v>650540.01</v>
      </c>
      <c r="H35" s="21">
        <f t="shared" si="5"/>
        <v>139770.63</v>
      </c>
      <c r="I35" s="21">
        <f t="shared" si="5"/>
        <v>2580227.1867199996</v>
      </c>
      <c r="J35" s="21">
        <f t="shared" si="5"/>
        <v>0</v>
      </c>
      <c r="K35" s="21">
        <f t="shared" si="5"/>
        <v>6256402.109999999</v>
      </c>
      <c r="L35" s="21">
        <f t="shared" si="5"/>
        <v>15579411.888389999</v>
      </c>
      <c r="M35" s="21">
        <f t="shared" si="5"/>
        <v>14464024</v>
      </c>
      <c r="N35" s="21">
        <f>+N31+N26+N21+N16+N8</f>
        <v>997891.0443749999</v>
      </c>
      <c r="O35" s="21">
        <f>+O31+O26+O21+O16+O8</f>
        <v>25043299.224244</v>
      </c>
      <c r="P35" s="21">
        <f>+P31+P26+P21+P16+P8</f>
        <v>12024379.438272001</v>
      </c>
      <c r="Q35" s="21">
        <f t="shared" si="5"/>
        <v>53644981.595281005</v>
      </c>
      <c r="R35" s="21">
        <f t="shared" si="5"/>
        <v>54383454</v>
      </c>
    </row>
    <row r="36" ht="12" thickTop="1">
      <c r="F36" s="23" t="s">
        <v>33</v>
      </c>
    </row>
    <row r="38" spans="2:16" ht="11.25" hidden="1">
      <c r="B38" s="22">
        <f aca="true" t="shared" si="6" ref="B38:L38">B17+B18+B22+B23+B27+B28</f>
        <v>2703474.5199999996</v>
      </c>
      <c r="C38" s="22">
        <f t="shared" si="6"/>
        <v>525871.87</v>
      </c>
      <c r="D38" s="22">
        <f t="shared" si="6"/>
        <v>920080.53</v>
      </c>
      <c r="E38" s="22">
        <f t="shared" si="6"/>
        <v>4678.52</v>
      </c>
      <c r="F38" s="22">
        <f t="shared" si="6"/>
        <v>592578.8300000001</v>
      </c>
      <c r="G38" s="22">
        <f t="shared" si="6"/>
        <v>353900.7</v>
      </c>
      <c r="H38" s="22">
        <f t="shared" si="6"/>
        <v>67349.01999999999</v>
      </c>
      <c r="I38" s="22">
        <f t="shared" si="6"/>
        <v>1997791.71</v>
      </c>
      <c r="J38" s="22">
        <f t="shared" si="6"/>
        <v>0</v>
      </c>
      <c r="K38" s="22"/>
      <c r="L38" s="22">
        <f t="shared" si="6"/>
        <v>12359334.129999999</v>
      </c>
      <c r="N38" s="22">
        <f>N17+N18+N22+N23+N27+N28</f>
        <v>739037.07</v>
      </c>
      <c r="O38" s="22">
        <f>O17+O18+O22+O23+O27+O28</f>
        <v>19140195.02</v>
      </c>
      <c r="P38" s="22">
        <f>P17+P18+P22+P23+P27+P28</f>
        <v>9458409.17</v>
      </c>
    </row>
    <row r="39" spans="1:8" ht="11.25">
      <c r="A39" s="8"/>
      <c r="B39" s="22"/>
      <c r="C39" s="22"/>
      <c r="D39" s="22"/>
      <c r="E39" s="22"/>
      <c r="F39" s="22"/>
      <c r="G39" s="22"/>
      <c r="H39" s="22"/>
    </row>
    <row r="40" spans="2:8" ht="11.25">
      <c r="B40" s="22"/>
      <c r="C40" s="22"/>
      <c r="D40" s="22"/>
      <c r="E40" s="22"/>
      <c r="F40" s="22"/>
      <c r="G40" s="22"/>
      <c r="H40" s="22"/>
    </row>
    <row r="41" spans="2:8" ht="11.25">
      <c r="B41" s="22"/>
      <c r="C41" s="22"/>
      <c r="D41" s="22"/>
      <c r="E41" s="22"/>
      <c r="F41" s="22"/>
      <c r="G41" s="22"/>
      <c r="H41" s="22"/>
    </row>
    <row r="42" spans="2:14" ht="11.25">
      <c r="B42" s="22"/>
      <c r="C42" s="22"/>
      <c r="D42" s="22"/>
      <c r="E42" s="22"/>
      <c r="F42" s="22"/>
      <c r="G42" s="22"/>
      <c r="H42" s="22"/>
      <c r="I42" s="22"/>
      <c r="N42" s="22"/>
    </row>
    <row r="43" spans="2:14" ht="11.25">
      <c r="B43" s="22"/>
      <c r="C43" s="22"/>
      <c r="D43" s="22"/>
      <c r="E43" s="22"/>
      <c r="F43" s="22"/>
      <c r="G43" s="22"/>
      <c r="H43" s="22"/>
      <c r="I43" s="22"/>
      <c r="N43" s="22"/>
    </row>
    <row r="44" spans="2:8" ht="11.25">
      <c r="B44" s="22"/>
      <c r="C44" s="22"/>
      <c r="D44" s="22"/>
      <c r="E44" s="22"/>
      <c r="F44" s="22"/>
      <c r="G44" s="22"/>
      <c r="H44" s="22"/>
    </row>
    <row r="45" spans="2:18" ht="11.25">
      <c r="B45" s="22"/>
      <c r="C45" s="22"/>
      <c r="D45" s="22"/>
      <c r="E45" s="22"/>
      <c r="F45" s="22"/>
      <c r="G45" s="22"/>
      <c r="H45" s="22"/>
      <c r="J45" s="22"/>
      <c r="K45" s="22"/>
      <c r="L45" s="22"/>
      <c r="M45" s="22"/>
      <c r="O45" s="22"/>
      <c r="P45" s="22"/>
      <c r="Q45" s="22"/>
      <c r="R45" s="22"/>
    </row>
    <row r="46" spans="2:18" ht="11.25">
      <c r="B46" s="22"/>
      <c r="C46" s="22"/>
      <c r="D46" s="22"/>
      <c r="E46" s="22"/>
      <c r="F46" s="22"/>
      <c r="G46" s="22"/>
      <c r="H46" s="22"/>
      <c r="J46" s="22"/>
      <c r="K46" s="22"/>
      <c r="L46" s="22"/>
      <c r="M46" s="22"/>
      <c r="O46" s="22"/>
      <c r="P46" s="22"/>
      <c r="Q46" s="22"/>
      <c r="R46" s="22"/>
    </row>
    <row r="47" spans="2:18" ht="11.25" hidden="1">
      <c r="B47" s="26"/>
      <c r="C47" s="12"/>
      <c r="D47" s="12"/>
      <c r="J47" s="22"/>
      <c r="K47" s="22"/>
      <c r="L47" s="22"/>
      <c r="M47" s="22"/>
      <c r="O47" s="22"/>
      <c r="P47" s="22"/>
      <c r="Q47" s="22"/>
      <c r="R47" s="22"/>
    </row>
    <row r="48" spans="10:18" ht="11.25" hidden="1">
      <c r="J48" s="2"/>
      <c r="K48" s="2"/>
      <c r="L48" s="2"/>
      <c r="M48" s="2"/>
      <c r="O48" s="8" t="s">
        <v>45</v>
      </c>
      <c r="P48" s="2"/>
      <c r="Q48" s="27" t="s">
        <v>46</v>
      </c>
      <c r="R48" s="27" t="s">
        <v>47</v>
      </c>
    </row>
    <row r="49" spans="10:18" ht="11.25" hidden="1">
      <c r="J49" s="2"/>
      <c r="K49" s="2"/>
      <c r="L49" s="2"/>
      <c r="M49" s="2"/>
      <c r="O49" s="2"/>
      <c r="P49" s="2"/>
      <c r="Q49" s="27" t="s">
        <v>48</v>
      </c>
      <c r="R49" s="27" t="s">
        <v>49</v>
      </c>
    </row>
    <row r="50" spans="10:17" ht="11.25" hidden="1">
      <c r="J50" s="12"/>
      <c r="K50" s="12"/>
      <c r="L50" s="12"/>
      <c r="M50" s="12"/>
      <c r="O50" s="2"/>
      <c r="P50" s="12"/>
      <c r="Q50" s="19"/>
    </row>
    <row r="51" spans="10:18" ht="11.25" hidden="1">
      <c r="J51" s="12"/>
      <c r="K51" s="12"/>
      <c r="L51" s="12"/>
      <c r="M51" s="12"/>
      <c r="O51" s="2" t="s">
        <v>63</v>
      </c>
      <c r="P51" s="12"/>
      <c r="Q51" s="35">
        <f>Q18+Q17+Q22+Q23+Q27+Q28-Q60+Q9</f>
        <v>41705932.93</v>
      </c>
      <c r="R51" s="20">
        <v>40437868.64</v>
      </c>
    </row>
    <row r="52" spans="10:17" ht="11.25" hidden="1">
      <c r="J52" s="12"/>
      <c r="K52" s="12"/>
      <c r="L52" s="12"/>
      <c r="M52" s="12"/>
      <c r="O52" s="2"/>
      <c r="P52" s="12"/>
      <c r="Q52" s="19"/>
    </row>
    <row r="53" spans="10:18" ht="12" hidden="1" thickBot="1">
      <c r="J53" s="12"/>
      <c r="K53" s="12"/>
      <c r="L53" s="12"/>
      <c r="M53" s="12"/>
      <c r="O53" s="2" t="s">
        <v>61</v>
      </c>
      <c r="P53" s="12"/>
      <c r="Q53" s="36">
        <f>Q51</f>
        <v>41705932.93</v>
      </c>
      <c r="R53" s="21">
        <f>R51</f>
        <v>40437868.64</v>
      </c>
    </row>
    <row r="54" spans="2:17" ht="11.25" hidden="1">
      <c r="B54" s="22"/>
      <c r="C54" s="22"/>
      <c r="D54" s="22"/>
      <c r="E54" s="22"/>
      <c r="F54" s="22"/>
      <c r="G54" s="22"/>
      <c r="H54" s="22"/>
      <c r="I54" s="22"/>
      <c r="J54" s="12"/>
      <c r="K54" s="12"/>
      <c r="L54" s="12"/>
      <c r="M54" s="12"/>
      <c r="N54" s="22"/>
      <c r="O54" s="2"/>
      <c r="P54" s="12"/>
      <c r="Q54" s="19"/>
    </row>
    <row r="55" spans="10:18" ht="11.25" hidden="1">
      <c r="J55" s="2"/>
      <c r="K55" s="2"/>
      <c r="L55" s="2"/>
      <c r="M55" s="2"/>
      <c r="O55" s="15" t="s">
        <v>34</v>
      </c>
      <c r="P55" s="2"/>
      <c r="Q55" s="19">
        <f>SUM(Q12)</f>
        <v>7766529.995281</v>
      </c>
      <c r="R55" s="15">
        <f>SUM(Q12)</f>
        <v>7766529.995281</v>
      </c>
    </row>
    <row r="56" spans="10:18" ht="11.25" hidden="1">
      <c r="J56" s="2"/>
      <c r="K56" s="2"/>
      <c r="L56" s="2"/>
      <c r="M56" s="2"/>
      <c r="O56" s="15" t="s">
        <v>35</v>
      </c>
      <c r="P56" s="2"/>
      <c r="Q56" s="29"/>
      <c r="R56" s="22"/>
    </row>
    <row r="57" spans="10:18" ht="11.25" hidden="1">
      <c r="J57" s="2"/>
      <c r="K57" s="2"/>
      <c r="L57" s="2"/>
      <c r="M57" s="2"/>
      <c r="O57" s="15" t="s">
        <v>37</v>
      </c>
      <c r="P57" s="2"/>
      <c r="Q57" s="29">
        <f>SUM(Q29+Q19+Q24)</f>
        <v>3158806.39</v>
      </c>
      <c r="R57" s="22">
        <f>SUM(Q29+Q19+Q24)</f>
        <v>3158806.39</v>
      </c>
    </row>
    <row r="58" spans="10:18" ht="11.25" hidden="1">
      <c r="J58" s="12"/>
      <c r="K58" s="12"/>
      <c r="L58" s="12"/>
      <c r="M58" s="12"/>
      <c r="O58" s="15" t="s">
        <v>36</v>
      </c>
      <c r="P58" s="12"/>
      <c r="Q58" s="29">
        <f>SUM(Q13)</f>
        <v>233988.14</v>
      </c>
      <c r="R58" s="22">
        <f>SUM(Q13)</f>
        <v>233988.14</v>
      </c>
    </row>
    <row r="59" spans="10:18" ht="11.25" hidden="1">
      <c r="J59" s="2"/>
      <c r="K59" s="2"/>
      <c r="L59" s="2"/>
      <c r="M59" s="2"/>
      <c r="O59" s="2" t="s">
        <v>64</v>
      </c>
      <c r="P59" s="2"/>
      <c r="Q59" s="29">
        <f>Q10</f>
        <v>779724.14</v>
      </c>
      <c r="R59" s="22">
        <f>Q10</f>
        <v>779724.14</v>
      </c>
    </row>
    <row r="60" spans="10:18" ht="11.25" hidden="1">
      <c r="J60" s="12"/>
      <c r="K60" s="12"/>
      <c r="L60" s="12"/>
      <c r="M60" s="12"/>
      <c r="O60" s="2" t="s">
        <v>54</v>
      </c>
      <c r="P60" s="12"/>
      <c r="Q60" s="29">
        <v>0</v>
      </c>
      <c r="R60" s="22">
        <v>0</v>
      </c>
    </row>
    <row r="61" spans="10:18" ht="11.25" hidden="1">
      <c r="J61" s="12"/>
      <c r="K61" s="12"/>
      <c r="L61" s="12"/>
      <c r="M61" s="12"/>
      <c r="O61" s="2" t="s">
        <v>55</v>
      </c>
      <c r="P61" s="12"/>
      <c r="Q61" s="35"/>
      <c r="R61" s="20">
        <v>0</v>
      </c>
    </row>
    <row r="62" spans="10:16" ht="11.25" hidden="1">
      <c r="J62" s="12"/>
      <c r="K62" s="12"/>
      <c r="L62" s="12"/>
      <c r="M62" s="12"/>
      <c r="O62" s="2"/>
      <c r="P62" s="12"/>
    </row>
    <row r="63" spans="10:18" ht="12" hidden="1" thickBot="1">
      <c r="J63" s="12"/>
      <c r="K63" s="12"/>
      <c r="L63" s="12"/>
      <c r="M63" s="12"/>
      <c r="O63" s="2" t="s">
        <v>7</v>
      </c>
      <c r="P63" s="12"/>
      <c r="Q63" s="21">
        <f>SUM(Q53:Q61)</f>
        <v>53644981.595281005</v>
      </c>
      <c r="R63" s="21">
        <f>SUM(R53:R61)</f>
        <v>52376917.305281</v>
      </c>
    </row>
    <row r="64" spans="17:18" ht="11.25" hidden="1">
      <c r="Q64" s="15">
        <f>+Q35-Q63</f>
        <v>0</v>
      </c>
      <c r="R64" s="15">
        <f>Q63-R63</f>
        <v>1268064.2900000066</v>
      </c>
    </row>
    <row r="65" spans="10:18" ht="11.25" hidden="1">
      <c r="J65" s="22"/>
      <c r="K65" s="22"/>
      <c r="L65" s="22"/>
      <c r="M65" s="22"/>
      <c r="O65" s="22"/>
      <c r="P65" s="22"/>
      <c r="Q65" s="22"/>
      <c r="R65" s="22"/>
    </row>
    <row r="66" spans="10:18" ht="11.25" hidden="1">
      <c r="J66" s="22"/>
      <c r="K66" s="22"/>
      <c r="L66" s="22"/>
      <c r="M66" s="22"/>
      <c r="O66" s="22"/>
      <c r="P66" s="22"/>
      <c r="Q66" s="22"/>
      <c r="R66" s="22"/>
    </row>
    <row r="67" spans="10:18" ht="11.25" hidden="1">
      <c r="J67" s="22"/>
      <c r="K67" s="22"/>
      <c r="L67" s="22"/>
      <c r="M67" s="22"/>
      <c r="O67" s="22"/>
      <c r="P67" s="22"/>
      <c r="Q67" s="22"/>
      <c r="R67" s="22"/>
    </row>
    <row r="68" spans="10:18" ht="11.25" hidden="1">
      <c r="J68" s="22"/>
      <c r="K68" s="22"/>
      <c r="L68" s="22"/>
      <c r="M68" s="22"/>
      <c r="O68" s="22"/>
      <c r="P68" s="22"/>
      <c r="Q68" s="22"/>
      <c r="R68" s="22"/>
    </row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6" r:id="rId1"/>
  <headerFooter alignWithMargins="0">
    <oddHeader>&amp;L11/04/15&amp;C&amp;F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66"/>
  <sheetViews>
    <sheetView zoomScalePageLayoutView="0" workbookViewId="0" topLeftCell="A1">
      <pane xSplit="1" ySplit="6" topLeftCell="C7" activePane="bottomRight" state="frozen"/>
      <selection pane="topLeft" activeCell="O2" sqref="O2"/>
      <selection pane="topRight" activeCell="O2" sqref="O2"/>
      <selection pane="bottomLeft" activeCell="O2" sqref="O2"/>
      <selection pane="bottomRight" activeCell="J3" sqref="J3"/>
    </sheetView>
  </sheetViews>
  <sheetFormatPr defaultColWidth="9.140625" defaultRowHeight="12.75" outlineLevelRow="1"/>
  <cols>
    <col min="1" max="1" width="18.8515625" style="15" customWidth="1"/>
    <col min="2" max="2" width="10.57421875" style="15" customWidth="1"/>
    <col min="3" max="3" width="9.8515625" style="15" bestFit="1" customWidth="1"/>
    <col min="4" max="4" width="10.00390625" style="15" customWidth="1"/>
    <col min="5" max="5" width="10.28125" style="15" customWidth="1"/>
    <col min="6" max="6" width="9.140625" style="15" customWidth="1"/>
    <col min="7" max="7" width="10.421875" style="15" bestFit="1" customWidth="1"/>
    <col min="8" max="8" width="9.140625" style="15" customWidth="1"/>
    <col min="9" max="9" width="10.140625" style="15" customWidth="1"/>
    <col min="10" max="10" width="6.57421875" style="15" bestFit="1" customWidth="1"/>
    <col min="11" max="11" width="9.8515625" style="15" bestFit="1" customWidth="1"/>
    <col min="12" max="14" width="9.140625" style="15" customWidth="1"/>
    <col min="15" max="15" width="10.140625" style="15" customWidth="1"/>
    <col min="16" max="16" width="10.00390625" style="15" customWidth="1"/>
    <col min="17" max="17" width="10.00390625" style="15" bestFit="1" customWidth="1"/>
    <col min="18" max="18" width="10.140625" style="15" bestFit="1" customWidth="1"/>
    <col min="19" max="16384" width="9.140625" style="15" customWidth="1"/>
  </cols>
  <sheetData>
    <row r="1" spans="1:18" ht="11.25">
      <c r="A1" s="8" t="s">
        <v>76</v>
      </c>
      <c r="H1" s="13"/>
      <c r="R1" s="32" t="s">
        <v>43</v>
      </c>
    </row>
    <row r="2" ht="11.25">
      <c r="A2" s="14" t="s">
        <v>28</v>
      </c>
    </row>
    <row r="3" spans="10:18" ht="11.25">
      <c r="J3" s="2" t="s">
        <v>81</v>
      </c>
      <c r="R3" s="28" t="s">
        <v>33</v>
      </c>
    </row>
    <row r="4" spans="1:18" ht="11.25">
      <c r="A4" s="14" t="s">
        <v>40</v>
      </c>
      <c r="B4" s="16"/>
      <c r="C4" s="16"/>
      <c r="D4" s="16"/>
      <c r="E4" s="16"/>
      <c r="F4" s="16"/>
      <c r="G4" s="16"/>
      <c r="H4" s="16" t="s">
        <v>1</v>
      </c>
      <c r="I4" s="16"/>
      <c r="J4" s="16"/>
      <c r="K4" s="16"/>
      <c r="L4" s="37" t="s">
        <v>77</v>
      </c>
      <c r="M4" s="37" t="s">
        <v>75</v>
      </c>
      <c r="N4" s="16"/>
      <c r="O4" s="16"/>
      <c r="P4" s="16" t="s">
        <v>29</v>
      </c>
      <c r="Q4" s="37" t="s">
        <v>77</v>
      </c>
      <c r="R4" s="37" t="s">
        <v>75</v>
      </c>
    </row>
    <row r="5" spans="2:18" ht="11.25">
      <c r="B5" s="16" t="s">
        <v>2</v>
      </c>
      <c r="C5" s="16"/>
      <c r="D5" s="16" t="s">
        <v>3</v>
      </c>
      <c r="E5" s="16"/>
      <c r="F5" s="16"/>
      <c r="G5" s="16"/>
      <c r="H5" s="16" t="s">
        <v>4</v>
      </c>
      <c r="I5" s="16" t="s">
        <v>5</v>
      </c>
      <c r="J5" s="16"/>
      <c r="K5" s="16"/>
      <c r="L5" s="37" t="s">
        <v>74</v>
      </c>
      <c r="M5" s="37" t="s">
        <v>74</v>
      </c>
      <c r="N5" s="16"/>
      <c r="O5" s="16" t="s">
        <v>6</v>
      </c>
      <c r="P5" s="16" t="s">
        <v>30</v>
      </c>
      <c r="Q5" s="16" t="s">
        <v>44</v>
      </c>
      <c r="R5" s="16" t="s">
        <v>7</v>
      </c>
    </row>
    <row r="6" spans="2:18" ht="11.25">
      <c r="B6" s="17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10</v>
      </c>
      <c r="I6" s="17" t="s">
        <v>15</v>
      </c>
      <c r="J6" s="16" t="s">
        <v>26</v>
      </c>
      <c r="K6" s="34" t="s">
        <v>79</v>
      </c>
      <c r="L6" s="37" t="s">
        <v>73</v>
      </c>
      <c r="M6" s="37" t="s">
        <v>73</v>
      </c>
      <c r="N6" s="17" t="s">
        <v>14</v>
      </c>
      <c r="O6" s="17" t="s">
        <v>16</v>
      </c>
      <c r="P6" s="17" t="s">
        <v>10</v>
      </c>
      <c r="Q6" s="30" t="s">
        <v>8</v>
      </c>
      <c r="R6" s="30" t="s">
        <v>8</v>
      </c>
    </row>
    <row r="7" spans="1:18" s="19" customFormat="1" ht="11.25">
      <c r="A7" s="5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1.25" customHeight="1">
      <c r="A8" s="8" t="s">
        <v>18</v>
      </c>
      <c r="B8" s="15">
        <f aca="true" t="shared" si="0" ref="B8:R8">SUM(B9:B13)</f>
        <v>4489196.50602</v>
      </c>
      <c r="C8" s="15">
        <f t="shared" si="0"/>
        <v>29771000.579981998</v>
      </c>
      <c r="D8" s="15">
        <f t="shared" si="0"/>
        <v>194855.52000000002</v>
      </c>
      <c r="E8" s="15">
        <f t="shared" si="0"/>
        <v>61834.113715</v>
      </c>
      <c r="F8" s="15">
        <f t="shared" si="0"/>
        <v>5362012.14</v>
      </c>
      <c r="G8" s="15">
        <f t="shared" si="0"/>
        <v>3029063.69</v>
      </c>
      <c r="H8" s="15">
        <f t="shared" si="0"/>
        <v>272748.54</v>
      </c>
      <c r="I8" s="15">
        <f t="shared" si="0"/>
        <v>3043009.696999</v>
      </c>
      <c r="J8" s="15">
        <f t="shared" si="0"/>
        <v>0</v>
      </c>
      <c r="K8" s="15">
        <f t="shared" si="0"/>
        <v>0</v>
      </c>
      <c r="L8" s="15">
        <f t="shared" si="0"/>
        <v>46223720.786716</v>
      </c>
      <c r="M8" s="15">
        <f t="shared" si="0"/>
        <v>49479011</v>
      </c>
      <c r="N8" s="15">
        <f>SUM(N9:N13)</f>
        <v>154475.57082599998</v>
      </c>
      <c r="O8" s="15">
        <f>SUM(O9:O13)</f>
        <v>18594.541196000002</v>
      </c>
      <c r="P8" s="15">
        <f>SUM(P9:P13)</f>
        <v>5661674.1</v>
      </c>
      <c r="Q8" s="15">
        <f t="shared" si="0"/>
        <v>52058464.998738006</v>
      </c>
      <c r="R8" s="15">
        <f t="shared" si="0"/>
        <v>54512962</v>
      </c>
    </row>
    <row r="9" spans="1:18" s="7" customFormat="1" ht="11.25" customHeight="1" outlineLevel="1">
      <c r="A9" s="7" t="s">
        <v>19</v>
      </c>
      <c r="B9" s="7">
        <v>3594292.37</v>
      </c>
      <c r="C9" s="7">
        <v>28089061.49</v>
      </c>
      <c r="D9" s="7">
        <v>183467.45</v>
      </c>
      <c r="E9" s="7">
        <v>37889.42</v>
      </c>
      <c r="F9" s="7">
        <v>5268679.97</v>
      </c>
      <c r="G9" s="7">
        <v>2211307.08</v>
      </c>
      <c r="H9" s="7">
        <v>4905.12</v>
      </c>
      <c r="I9" s="7">
        <v>2995941.82</v>
      </c>
      <c r="L9" s="7">
        <f>SUM(B9:K9)</f>
        <v>42385544.72</v>
      </c>
      <c r="M9" s="7">
        <v>45147382</v>
      </c>
      <c r="P9" s="7">
        <v>5661674.1</v>
      </c>
      <c r="Q9" s="7">
        <f>L9+N9+O9+P9</f>
        <v>48047218.82</v>
      </c>
      <c r="R9" s="7">
        <v>50052836</v>
      </c>
    </row>
    <row r="10" spans="1:18" s="7" customFormat="1" ht="11.25" customHeight="1" outlineLevel="1">
      <c r="A10" s="7" t="s">
        <v>20</v>
      </c>
      <c r="C10" s="7">
        <v>543803.88</v>
      </c>
      <c r="G10" s="7">
        <v>32193.9</v>
      </c>
      <c r="H10" s="7">
        <v>1071.67</v>
      </c>
      <c r="L10" s="7">
        <f>SUM(B10:K10)</f>
        <v>577069.4500000001</v>
      </c>
      <c r="M10" s="7">
        <v>740113</v>
      </c>
      <c r="Q10" s="7">
        <f>L10+N10+O10+P10</f>
        <v>577069.4500000001</v>
      </c>
      <c r="R10" s="7">
        <v>740113</v>
      </c>
    </row>
    <row r="11" spans="1:18" ht="11.25" customHeight="1" outlineLevel="1">
      <c r="A11" s="2" t="s">
        <v>21</v>
      </c>
      <c r="C11" s="15">
        <v>-32108.75</v>
      </c>
      <c r="L11" s="7">
        <f>SUM(B11:K11)</f>
        <v>-32108.75</v>
      </c>
      <c r="M11" s="7">
        <v>0</v>
      </c>
      <c r="Q11" s="7">
        <f>L11+N11+O11+P11</f>
        <v>-32108.75</v>
      </c>
      <c r="R11" s="15">
        <v>0</v>
      </c>
    </row>
    <row r="12" spans="1:18" ht="11.25" outlineLevel="1">
      <c r="A12" s="2" t="s">
        <v>72</v>
      </c>
      <c r="B12" s="7">
        <f>(0.1796*(B17+B18+B22+B23+B27+B28))</f>
        <v>894904.1360200001</v>
      </c>
      <c r="C12" s="7">
        <f>(0.2447*(C17+C18+C22+C23+C27+C28))</f>
        <v>964142.2399819999</v>
      </c>
      <c r="D12" s="7">
        <v>11388.07</v>
      </c>
      <c r="E12" s="7">
        <f>(0.2855*(E17+E18+E22+E23+E27+E28))</f>
        <v>23944.693714999998</v>
      </c>
      <c r="F12" s="7">
        <v>93332.17</v>
      </c>
      <c r="G12" s="7">
        <v>773361.18</v>
      </c>
      <c r="H12" s="7">
        <v>266365.46</v>
      </c>
      <c r="I12" s="2">
        <f>(0.3791*(I17+I18+I22+I23+I27+I28))</f>
        <v>47067.876999</v>
      </c>
      <c r="L12" s="7">
        <f>SUM(B12:K12)</f>
        <v>3074505.826716</v>
      </c>
      <c r="M12" s="7">
        <v>3311013</v>
      </c>
      <c r="N12" s="2">
        <f>(0.3186*(N17+N18+N22+N23+N27+N28))</f>
        <v>154475.57082599998</v>
      </c>
      <c r="O12" s="2">
        <f>(0.5401*(O17+O18+O22+O23+O27+O28))</f>
        <v>18594.541196000002</v>
      </c>
      <c r="Q12" s="7">
        <f>L12+N12+O12+P12</f>
        <v>3247575.938738</v>
      </c>
      <c r="R12" s="15">
        <v>3439510</v>
      </c>
    </row>
    <row r="13" spans="1:18" ht="11.25" outlineLevel="1">
      <c r="A13" s="15" t="s">
        <v>36</v>
      </c>
      <c r="C13" s="15">
        <v>206101.72</v>
      </c>
      <c r="G13" s="15">
        <v>12201.53</v>
      </c>
      <c r="H13" s="15">
        <v>406.29</v>
      </c>
      <c r="L13" s="7">
        <f>SUM(B13:K13)</f>
        <v>218709.54</v>
      </c>
      <c r="M13" s="7">
        <v>280503</v>
      </c>
      <c r="Q13" s="7">
        <f>L13+N13+O13+P13</f>
        <v>218709.54</v>
      </c>
      <c r="R13" s="15">
        <v>280503</v>
      </c>
    </row>
    <row r="14" spans="2:17" s="40" customFormat="1" ht="11.25" hidden="1" outlineLevel="1">
      <c r="B14" s="40">
        <v>0.279</v>
      </c>
      <c r="C14" s="40">
        <v>0.279</v>
      </c>
      <c r="D14" s="40">
        <v>0.279</v>
      </c>
      <c r="E14" s="40">
        <v>0.279</v>
      </c>
      <c r="F14" s="40">
        <v>0.279</v>
      </c>
      <c r="G14" s="40">
        <v>0.279</v>
      </c>
      <c r="H14" s="40">
        <v>0.279</v>
      </c>
      <c r="I14" s="40">
        <v>0.279</v>
      </c>
      <c r="J14" s="40">
        <v>0.279</v>
      </c>
      <c r="L14" s="44"/>
      <c r="M14" s="44"/>
      <c r="N14" s="40">
        <v>0.542</v>
      </c>
      <c r="O14" s="40">
        <v>0.548</v>
      </c>
      <c r="P14" s="40">
        <v>0.276</v>
      </c>
      <c r="Q14" s="44"/>
    </row>
    <row r="16" spans="1:18" ht="11.25">
      <c r="A16" s="14" t="s">
        <v>25</v>
      </c>
      <c r="B16" s="15">
        <f aca="true" t="shared" si="1" ref="B16:M16">SUM(B17:B19)</f>
        <v>162775.94</v>
      </c>
      <c r="C16" s="15">
        <f t="shared" si="1"/>
        <v>612497.9299999999</v>
      </c>
      <c r="D16" s="15">
        <f t="shared" si="1"/>
        <v>0</v>
      </c>
      <c r="E16" s="15">
        <f t="shared" si="1"/>
        <v>0</v>
      </c>
      <c r="F16" s="15">
        <f t="shared" si="1"/>
        <v>11199.49</v>
      </c>
      <c r="G16" s="15">
        <f t="shared" si="1"/>
        <v>119289.66</v>
      </c>
      <c r="H16" s="15">
        <f t="shared" si="1"/>
        <v>214819.30000000002</v>
      </c>
      <c r="I16" s="15">
        <f t="shared" si="1"/>
        <v>32089.32</v>
      </c>
      <c r="J16" s="15">
        <f t="shared" si="1"/>
        <v>0</v>
      </c>
      <c r="K16" s="15">
        <f t="shared" si="1"/>
        <v>0</v>
      </c>
      <c r="L16" s="15">
        <f t="shared" si="1"/>
        <v>1152671.64</v>
      </c>
      <c r="M16" s="15">
        <f t="shared" si="1"/>
        <v>1898663</v>
      </c>
      <c r="N16" s="15">
        <f>SUM(N17:N19)</f>
        <v>0</v>
      </c>
      <c r="O16" s="15">
        <f>SUM(O17:O19)</f>
        <v>0</v>
      </c>
      <c r="P16" s="15">
        <f>SUM(P17:P19)</f>
        <v>0</v>
      </c>
      <c r="Q16" s="15">
        <f>SUM(Q17:Q19)</f>
        <v>1152671.64</v>
      </c>
      <c r="R16" s="15">
        <f>SUM(R17:R19)</f>
        <v>1898663</v>
      </c>
    </row>
    <row r="17" spans="1:18" ht="11.25" outlineLevel="1">
      <c r="A17" s="15" t="s">
        <v>22</v>
      </c>
      <c r="B17" s="15">
        <v>159968.41</v>
      </c>
      <c r="C17" s="15">
        <v>559995.99</v>
      </c>
      <c r="F17" s="15">
        <v>9476.69</v>
      </c>
      <c r="G17" s="15">
        <v>119280.08</v>
      </c>
      <c r="H17" s="15">
        <v>193422.23</v>
      </c>
      <c r="I17" s="15">
        <v>32089.32</v>
      </c>
      <c r="L17" s="7">
        <f>SUM(B17:K17)</f>
        <v>1074232.72</v>
      </c>
      <c r="M17" s="7">
        <v>1821713</v>
      </c>
      <c r="Q17" s="7">
        <f>L17+N17+O17+P17</f>
        <v>1074232.72</v>
      </c>
      <c r="R17" s="15">
        <v>1821713</v>
      </c>
    </row>
    <row r="18" spans="1:18" ht="11.25" outlineLevel="1">
      <c r="A18" s="2" t="s">
        <v>80</v>
      </c>
      <c r="L18" s="7">
        <f>SUM(B18:K18)</f>
        <v>0</v>
      </c>
      <c r="M18" s="7">
        <v>0</v>
      </c>
      <c r="Q18" s="7">
        <f>L18+N18+O18+P18</f>
        <v>0</v>
      </c>
      <c r="R18" s="15">
        <v>0</v>
      </c>
    </row>
    <row r="19" spans="1:18" ht="11.25" outlineLevel="1">
      <c r="A19" s="15" t="s">
        <v>37</v>
      </c>
      <c r="B19" s="15">
        <v>2807.53</v>
      </c>
      <c r="C19" s="15">
        <v>52501.94</v>
      </c>
      <c r="F19" s="15">
        <v>1722.8</v>
      </c>
      <c r="G19" s="15">
        <v>9.58</v>
      </c>
      <c r="H19" s="15">
        <v>21397.07</v>
      </c>
      <c r="L19" s="7">
        <f>SUM(B19:K19)</f>
        <v>78438.92000000001</v>
      </c>
      <c r="M19" s="7">
        <v>76950</v>
      </c>
      <c r="Q19" s="7">
        <f>L19+N19+O19+P19</f>
        <v>78438.92000000001</v>
      </c>
      <c r="R19" s="15">
        <v>76950</v>
      </c>
    </row>
    <row r="21" spans="1:18" ht="11.25">
      <c r="A21" s="14" t="s">
        <v>23</v>
      </c>
      <c r="B21" s="15">
        <f aca="true" t="shared" si="2" ref="B21:R21">SUM(B22:B24)</f>
        <v>3623209.46</v>
      </c>
      <c r="C21" s="15">
        <f t="shared" si="2"/>
        <v>3282627.83</v>
      </c>
      <c r="D21" s="15">
        <f t="shared" si="2"/>
        <v>9073.09</v>
      </c>
      <c r="E21" s="15">
        <f t="shared" si="2"/>
        <v>113655.61</v>
      </c>
      <c r="F21" s="15">
        <f t="shared" si="2"/>
        <v>298807.47000000003</v>
      </c>
      <c r="G21" s="15">
        <f t="shared" si="2"/>
        <v>985688.1299999999</v>
      </c>
      <c r="H21" s="15">
        <f t="shared" si="2"/>
        <v>3060566.48</v>
      </c>
      <c r="I21" s="15">
        <f t="shared" si="2"/>
        <v>22034.02</v>
      </c>
      <c r="J21" s="15">
        <f t="shared" si="2"/>
        <v>0</v>
      </c>
      <c r="K21" s="15">
        <f t="shared" si="2"/>
        <v>1095382</v>
      </c>
      <c r="L21" s="15">
        <f t="shared" si="2"/>
        <v>12491044.09</v>
      </c>
      <c r="M21" s="15">
        <f t="shared" si="2"/>
        <v>12716066</v>
      </c>
      <c r="N21" s="15">
        <f>SUM(N22:N24)</f>
        <v>704214.79</v>
      </c>
      <c r="O21" s="15">
        <f>SUM(O22:O24)</f>
        <v>48543.43</v>
      </c>
      <c r="P21" s="15">
        <f>SUM(P22:P24)</f>
        <v>0</v>
      </c>
      <c r="Q21" s="15">
        <f>SUM(Q22:Q24)</f>
        <v>13243802.310000002</v>
      </c>
      <c r="R21" s="15">
        <f t="shared" si="2"/>
        <v>13034165</v>
      </c>
    </row>
    <row r="22" spans="1:18" ht="11.25" outlineLevel="1">
      <c r="A22" s="15" t="s">
        <v>22</v>
      </c>
      <c r="B22" s="15">
        <v>3440294.04</v>
      </c>
      <c r="C22" s="15">
        <v>2680594.1</v>
      </c>
      <c r="D22" s="15">
        <v>9073.09</v>
      </c>
      <c r="E22" s="15">
        <v>83869.33</v>
      </c>
      <c r="F22" s="15">
        <v>279952.39</v>
      </c>
      <c r="G22" s="15">
        <v>845749.69</v>
      </c>
      <c r="H22" s="15">
        <v>2482679.73</v>
      </c>
      <c r="I22" s="15">
        <v>20030.93</v>
      </c>
      <c r="K22" s="7"/>
      <c r="L22" s="7">
        <f>SUM(B22:K22)</f>
        <v>9842243.3</v>
      </c>
      <c r="M22" s="7">
        <v>10914979</v>
      </c>
      <c r="N22" s="2">
        <v>484857.41</v>
      </c>
      <c r="O22" s="15">
        <v>34427.96</v>
      </c>
      <c r="Q22" s="7">
        <f>L22+N22+O22+P22</f>
        <v>10361528.670000002</v>
      </c>
      <c r="R22" s="15">
        <v>11144416</v>
      </c>
    </row>
    <row r="23" spans="1:18" ht="11.25" outlineLevel="1">
      <c r="A23" s="2" t="s">
        <v>80</v>
      </c>
      <c r="K23" s="15">
        <v>827671</v>
      </c>
      <c r="L23" s="7">
        <f>SUM(B23:K23)</f>
        <v>827671</v>
      </c>
      <c r="M23" s="7">
        <v>0</v>
      </c>
      <c r="Q23" s="7">
        <f>L23+N23+O23+P23</f>
        <v>827671</v>
      </c>
      <c r="R23" s="15">
        <v>0</v>
      </c>
    </row>
    <row r="24" spans="1:18" ht="11.25" outlineLevel="1">
      <c r="A24" s="15" t="s">
        <v>37</v>
      </c>
      <c r="B24" s="15">
        <v>182915.42</v>
      </c>
      <c r="C24" s="15">
        <v>602033.73</v>
      </c>
      <c r="E24" s="15">
        <v>29786.28</v>
      </c>
      <c r="F24" s="15">
        <v>18855.08</v>
      </c>
      <c r="G24" s="15">
        <v>139938.44</v>
      </c>
      <c r="H24" s="15">
        <v>577886.75</v>
      </c>
      <c r="I24" s="15">
        <v>2003.09</v>
      </c>
      <c r="K24" s="15">
        <v>267711</v>
      </c>
      <c r="L24" s="7">
        <f>SUM(B24:K24)</f>
        <v>1821129.79</v>
      </c>
      <c r="M24" s="7">
        <v>1801087</v>
      </c>
      <c r="N24" s="15">
        <v>219357.38</v>
      </c>
      <c r="O24" s="15">
        <v>14115.47</v>
      </c>
      <c r="Q24" s="7">
        <f>L24+N24+O24+P24</f>
        <v>2054602.64</v>
      </c>
      <c r="R24" s="15">
        <v>1889749</v>
      </c>
    </row>
    <row r="26" spans="1:18" ht="11.25">
      <c r="A26" s="14" t="s">
        <v>24</v>
      </c>
      <c r="B26" s="15">
        <f aca="true" t="shared" si="3" ref="B26:M26">SUM(B27:B29)</f>
        <v>1546106.12</v>
      </c>
      <c r="C26" s="15">
        <f t="shared" si="3"/>
        <v>701560.15</v>
      </c>
      <c r="D26" s="15">
        <f t="shared" si="3"/>
        <v>706.58</v>
      </c>
      <c r="E26" s="15">
        <f t="shared" si="3"/>
        <v>0</v>
      </c>
      <c r="F26" s="15">
        <f t="shared" si="3"/>
        <v>5859.2300000000005</v>
      </c>
      <c r="G26" s="15">
        <f t="shared" si="3"/>
        <v>1909761.21</v>
      </c>
      <c r="H26" s="15">
        <f t="shared" si="3"/>
        <v>881870.71</v>
      </c>
      <c r="I26" s="15">
        <f t="shared" si="3"/>
        <v>72036.64</v>
      </c>
      <c r="J26" s="15">
        <f t="shared" si="3"/>
        <v>0</v>
      </c>
      <c r="K26" s="15">
        <f t="shared" si="3"/>
        <v>0</v>
      </c>
      <c r="L26" s="15">
        <f t="shared" si="3"/>
        <v>5117900.640000001</v>
      </c>
      <c r="M26" s="15">
        <f t="shared" si="3"/>
        <v>3978121</v>
      </c>
      <c r="N26" s="15">
        <f>SUM(N27:N29)</f>
        <v>0</v>
      </c>
      <c r="O26" s="15">
        <f>SUM(O27:O29)</f>
        <v>0</v>
      </c>
      <c r="P26" s="15">
        <f>SUM(P27:P29)</f>
        <v>0</v>
      </c>
      <c r="Q26" s="15">
        <f>SUM(Q27:Q29)</f>
        <v>5117900.640000001</v>
      </c>
      <c r="R26" s="15">
        <f>SUM(R27:R29)</f>
        <v>3978621</v>
      </c>
    </row>
    <row r="27" spans="1:18" ht="11.25" outlineLevel="1">
      <c r="A27" s="15" t="s">
        <v>22</v>
      </c>
      <c r="B27" s="15">
        <v>1382500</v>
      </c>
      <c r="C27" s="15">
        <v>699508.97</v>
      </c>
      <c r="D27" s="15">
        <v>706.58</v>
      </c>
      <c r="F27" s="15">
        <v>5732.64</v>
      </c>
      <c r="G27" s="15">
        <v>1807591.34</v>
      </c>
      <c r="H27" s="15">
        <v>667521.27</v>
      </c>
      <c r="I27" s="15">
        <v>72036.64</v>
      </c>
      <c r="L27" s="7">
        <f>SUM(B27:K27)</f>
        <v>4635597.44</v>
      </c>
      <c r="M27" s="7">
        <v>3701785</v>
      </c>
      <c r="Q27" s="7">
        <f>L27+N27+O27+P27</f>
        <v>4635597.44</v>
      </c>
      <c r="R27" s="15">
        <v>3702285</v>
      </c>
    </row>
    <row r="28" spans="1:18" ht="11.25" outlineLevel="1">
      <c r="A28" s="2" t="s">
        <v>80</v>
      </c>
      <c r="L28" s="7">
        <f>SUM(B28:K28)</f>
        <v>0</v>
      </c>
      <c r="M28" s="7">
        <v>0</v>
      </c>
      <c r="Q28" s="7">
        <f>L28+N28+O28+P28</f>
        <v>0</v>
      </c>
      <c r="R28" s="15">
        <v>0</v>
      </c>
    </row>
    <row r="29" spans="1:18" ht="11.25" outlineLevel="1">
      <c r="A29" s="15" t="s">
        <v>37</v>
      </c>
      <c r="B29" s="15">
        <v>163606.12</v>
      </c>
      <c r="C29" s="15">
        <v>2051.18</v>
      </c>
      <c r="F29" s="15">
        <v>126.59</v>
      </c>
      <c r="G29" s="2">
        <v>102169.87</v>
      </c>
      <c r="H29" s="15">
        <v>214349.44</v>
      </c>
      <c r="L29" s="7">
        <f>SUM(B29:K29)</f>
        <v>482303.2</v>
      </c>
      <c r="M29" s="7">
        <v>276336</v>
      </c>
      <c r="Q29" s="7">
        <f>L29+N29+O29+P29</f>
        <v>482303.2</v>
      </c>
      <c r="R29" s="15">
        <v>276336</v>
      </c>
    </row>
    <row r="31" spans="1:18" ht="11.25">
      <c r="A31" s="14" t="s">
        <v>27</v>
      </c>
      <c r="C31" s="15">
        <v>9007901.53</v>
      </c>
      <c r="L31" s="7">
        <f>SUM(B31:K31)</f>
        <v>9007901.53</v>
      </c>
      <c r="M31" s="7">
        <v>9278891</v>
      </c>
      <c r="Q31" s="7">
        <f>L31+N31+O31+P31</f>
        <v>9007901.53</v>
      </c>
      <c r="R31" s="15">
        <v>9278891</v>
      </c>
    </row>
    <row r="32" spans="1:17" ht="11.25">
      <c r="A32" s="14"/>
      <c r="Q32" s="7"/>
    </row>
    <row r="33" spans="1:18" s="40" customFormat="1" ht="11.25">
      <c r="A33" s="38" t="s">
        <v>68</v>
      </c>
      <c r="B33" s="40">
        <f aca="true" t="shared" si="4" ref="B33:M33">((B19+B24+B29)/(B17+B18+B22+B23+B27+B28))</f>
        <v>0.07010751034298253</v>
      </c>
      <c r="C33" s="40">
        <f t="shared" si="4"/>
        <v>0.16664221888878095</v>
      </c>
      <c r="D33" s="40">
        <f t="shared" si="4"/>
        <v>0</v>
      </c>
      <c r="E33" s="40">
        <f t="shared" si="4"/>
        <v>0.3551510426993992</v>
      </c>
      <c r="F33" s="40">
        <f t="shared" si="4"/>
        <v>0.0701461896888255</v>
      </c>
      <c r="G33" s="40">
        <f t="shared" si="4"/>
        <v>0.08732454972904682</v>
      </c>
      <c r="H33" s="40">
        <f t="shared" si="4"/>
        <v>0.24333879867200228</v>
      </c>
      <c r="I33" s="40">
        <f t="shared" si="4"/>
        <v>0.016133538783067135</v>
      </c>
      <c r="J33" s="40">
        <v>0</v>
      </c>
      <c r="K33" s="40">
        <v>0</v>
      </c>
      <c r="L33" s="40">
        <f t="shared" si="4"/>
        <v>0.1454156941102853</v>
      </c>
      <c r="M33" s="40">
        <f t="shared" si="4"/>
        <v>0.1310567274571726</v>
      </c>
      <c r="N33" s="40">
        <f>((N19+N24+N29)/(N17+N18+N22+N23+N27+N28))</f>
        <v>0.4524162681147845</v>
      </c>
      <c r="O33" s="40">
        <f>((O19+O24+O29)/(O17+O18+O22+O23+O27+O28))</f>
        <v>0.41000018589541753</v>
      </c>
      <c r="P33" s="40">
        <v>0</v>
      </c>
      <c r="Q33" s="40">
        <f>((Q19+Q24+Q29)/(Q17+Q18+Q22+Q23+Q27+Q28))</f>
        <v>0.15476301221488523</v>
      </c>
      <c r="R33" s="40">
        <f>((R19+R24+R29)/(R17+R18+R22+R23+R27+R28))</f>
        <v>0.13456799189173008</v>
      </c>
    </row>
    <row r="34" spans="2:18" ht="11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2" thickBot="1">
      <c r="A35" s="8" t="s">
        <v>7</v>
      </c>
      <c r="B35" s="21">
        <f aca="true" t="shared" si="5" ref="B35:R35">+B31+B26+B21+B16+B8</f>
        <v>9821288.026020002</v>
      </c>
      <c r="C35" s="21">
        <f t="shared" si="5"/>
        <v>43375588.019981995</v>
      </c>
      <c r="D35" s="21">
        <f t="shared" si="5"/>
        <v>204635.19000000003</v>
      </c>
      <c r="E35" s="21">
        <f t="shared" si="5"/>
        <v>175489.723715</v>
      </c>
      <c r="F35" s="21">
        <f t="shared" si="5"/>
        <v>5677878.33</v>
      </c>
      <c r="G35" s="21">
        <f t="shared" si="5"/>
        <v>6043802.6899999995</v>
      </c>
      <c r="H35" s="21">
        <f t="shared" si="5"/>
        <v>4430005.029999999</v>
      </c>
      <c r="I35" s="21">
        <f t="shared" si="5"/>
        <v>3169169.676999</v>
      </c>
      <c r="J35" s="21">
        <f t="shared" si="5"/>
        <v>0</v>
      </c>
      <c r="K35" s="21">
        <f t="shared" si="5"/>
        <v>1095382</v>
      </c>
      <c r="L35" s="21">
        <f t="shared" si="5"/>
        <v>73993238.68671599</v>
      </c>
      <c r="M35" s="21">
        <f t="shared" si="5"/>
        <v>77350752</v>
      </c>
      <c r="N35" s="21">
        <f t="shared" si="5"/>
        <v>858690.360826</v>
      </c>
      <c r="O35" s="21">
        <f t="shared" si="5"/>
        <v>67137.971196</v>
      </c>
      <c r="P35" s="21">
        <f t="shared" si="5"/>
        <v>5661674.1</v>
      </c>
      <c r="Q35" s="21">
        <f t="shared" si="5"/>
        <v>80580741.11873801</v>
      </c>
      <c r="R35" s="21">
        <f t="shared" si="5"/>
        <v>82703302</v>
      </c>
    </row>
    <row r="36" ht="12" thickTop="1"/>
    <row r="38" spans="2:16" ht="11.25" hidden="1">
      <c r="B38" s="26">
        <f aca="true" t="shared" si="6" ref="B38:J38">B17+B18+B22+B23+B27+B28</f>
        <v>4982762.45</v>
      </c>
      <c r="C38" s="26">
        <f t="shared" si="6"/>
        <v>3940099.0599999996</v>
      </c>
      <c r="D38" s="26">
        <f t="shared" si="6"/>
        <v>9779.67</v>
      </c>
      <c r="E38" s="26">
        <f t="shared" si="6"/>
        <v>83869.33</v>
      </c>
      <c r="F38" s="26">
        <f t="shared" si="6"/>
        <v>295161.72000000003</v>
      </c>
      <c r="G38" s="26">
        <f t="shared" si="6"/>
        <v>2772621.11</v>
      </c>
      <c r="H38" s="26">
        <f t="shared" si="6"/>
        <v>3343623.23</v>
      </c>
      <c r="I38" s="26">
        <f t="shared" si="6"/>
        <v>124156.89</v>
      </c>
      <c r="J38" s="26">
        <f t="shared" si="6"/>
        <v>0</v>
      </c>
      <c r="K38" s="26"/>
      <c r="L38" s="26"/>
      <c r="N38" s="26">
        <f>N17+N18+N22+N23+N27+N28</f>
        <v>484857.41</v>
      </c>
      <c r="O38" s="26">
        <f>O17+O18+O22+O23+O27+O28</f>
        <v>34427.96</v>
      </c>
      <c r="P38" s="26">
        <f>P17+P18+P22+P23+P27+P28</f>
        <v>0</v>
      </c>
    </row>
    <row r="39" spans="1:9" ht="11.25">
      <c r="A39" s="8"/>
      <c r="I39" s="8"/>
    </row>
    <row r="41" spans="2:14" ht="11.25">
      <c r="B41" s="22"/>
      <c r="C41" s="22"/>
      <c r="D41" s="22"/>
      <c r="E41" s="22"/>
      <c r="F41" s="22"/>
      <c r="G41" s="22"/>
      <c r="H41" s="22"/>
      <c r="N41" s="22"/>
    </row>
    <row r="42" spans="2:14" ht="11.25">
      <c r="B42" s="22"/>
      <c r="C42" s="22"/>
      <c r="D42" s="22"/>
      <c r="E42" s="22"/>
      <c r="F42" s="22"/>
      <c r="G42" s="22"/>
      <c r="H42" s="22"/>
      <c r="N42" s="22"/>
    </row>
    <row r="43" spans="2:14" ht="11.25">
      <c r="B43" s="22"/>
      <c r="C43" s="22"/>
      <c r="D43" s="22"/>
      <c r="E43" s="22"/>
      <c r="F43" s="22"/>
      <c r="G43" s="22"/>
      <c r="H43" s="22"/>
      <c r="N43" s="22"/>
    </row>
    <row r="44" spans="2:18" ht="11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9:18" ht="11.25" hidden="1">
      <c r="I45" s="22"/>
      <c r="J45" s="22"/>
      <c r="K45" s="22"/>
      <c r="L45" s="22"/>
      <c r="M45" s="22"/>
      <c r="O45" s="22"/>
      <c r="P45" s="22"/>
      <c r="Q45" s="22"/>
      <c r="R45" s="22"/>
    </row>
    <row r="46" spans="9:18" ht="11.25" hidden="1">
      <c r="I46" s="22"/>
      <c r="J46" s="22"/>
      <c r="K46" s="22"/>
      <c r="L46" s="22"/>
      <c r="M46" s="22"/>
      <c r="O46" s="22"/>
      <c r="P46" s="22"/>
      <c r="Q46" s="22"/>
      <c r="R46" s="22"/>
    </row>
    <row r="47" spans="9:18" ht="11.25" hidden="1">
      <c r="I47" s="22"/>
      <c r="O47" s="8" t="s">
        <v>45</v>
      </c>
      <c r="Q47" s="27" t="s">
        <v>46</v>
      </c>
      <c r="R47" s="27" t="s">
        <v>47</v>
      </c>
    </row>
    <row r="48" spans="9:18" ht="11.25" hidden="1">
      <c r="I48" s="22"/>
      <c r="J48" s="2"/>
      <c r="K48" s="2"/>
      <c r="L48" s="2"/>
      <c r="M48" s="2"/>
      <c r="O48" s="8"/>
      <c r="P48" s="2"/>
      <c r="Q48" s="27" t="s">
        <v>48</v>
      </c>
      <c r="R48" s="27" t="s">
        <v>49</v>
      </c>
    </row>
    <row r="49" spans="9:16" ht="11.25" hidden="1">
      <c r="I49" s="22"/>
      <c r="J49" s="2"/>
      <c r="K49" s="2"/>
      <c r="L49" s="2"/>
      <c r="M49" s="2"/>
      <c r="O49" s="2"/>
      <c r="P49" s="2"/>
    </row>
    <row r="50" spans="9:18" ht="11.25" hidden="1">
      <c r="I50" s="22"/>
      <c r="J50" s="12"/>
      <c r="K50" s="12"/>
      <c r="L50" s="12"/>
      <c r="M50" s="12"/>
      <c r="O50" s="2" t="s">
        <v>65</v>
      </c>
      <c r="P50" s="12"/>
      <c r="Q50" s="19">
        <f>Q9+Q10+Q11+Q31-Q59</f>
        <v>57600081.050000004</v>
      </c>
      <c r="R50" s="15">
        <v>60822383.36</v>
      </c>
    </row>
    <row r="51" spans="9:18" ht="11.25" hidden="1">
      <c r="I51" s="22"/>
      <c r="J51" s="12"/>
      <c r="K51" s="12"/>
      <c r="L51" s="12"/>
      <c r="M51" s="12"/>
      <c r="O51" s="2" t="s">
        <v>66</v>
      </c>
      <c r="P51" s="12"/>
      <c r="Q51" s="35">
        <f>Q17+Q18+Q22+Q23+Q27+Q28</f>
        <v>16899029.830000002</v>
      </c>
      <c r="R51" s="20">
        <v>15975643.58</v>
      </c>
    </row>
    <row r="52" spans="9:18" ht="11.25" hidden="1">
      <c r="I52" s="22"/>
      <c r="J52" s="12"/>
      <c r="K52" s="12"/>
      <c r="L52" s="12"/>
      <c r="M52" s="12"/>
      <c r="O52" s="2"/>
      <c r="P52" s="12"/>
      <c r="Q52" s="29"/>
      <c r="R52" s="22"/>
    </row>
    <row r="53" spans="9:18" ht="12" hidden="1" thickBot="1">
      <c r="I53" s="22"/>
      <c r="J53" s="12"/>
      <c r="K53" s="12"/>
      <c r="L53" s="12"/>
      <c r="M53" s="12"/>
      <c r="O53" s="2" t="s">
        <v>61</v>
      </c>
      <c r="P53" s="12"/>
      <c r="Q53" s="36">
        <f>Q50+Q51</f>
        <v>74499110.88000001</v>
      </c>
      <c r="R53" s="21">
        <f>R50+R51</f>
        <v>76798026.94</v>
      </c>
    </row>
    <row r="54" spans="9:18" ht="11.25" hidden="1">
      <c r="I54" s="22"/>
      <c r="J54" s="12"/>
      <c r="K54" s="12"/>
      <c r="L54" s="12"/>
      <c r="M54" s="12"/>
      <c r="O54" s="2"/>
      <c r="P54" s="12"/>
      <c r="Q54" s="29"/>
      <c r="R54" s="22"/>
    </row>
    <row r="55" spans="9:18" ht="11.25" hidden="1">
      <c r="I55" s="22"/>
      <c r="J55" s="2"/>
      <c r="K55" s="2"/>
      <c r="L55" s="2"/>
      <c r="M55" s="2"/>
      <c r="O55" s="15" t="s">
        <v>34</v>
      </c>
      <c r="P55" s="2"/>
      <c r="Q55" s="19">
        <f>SUM(Q12)</f>
        <v>3247575.938738</v>
      </c>
      <c r="R55" s="15">
        <f>SUM(Q12)</f>
        <v>3247575.938738</v>
      </c>
    </row>
    <row r="56" spans="9:18" ht="11.25" hidden="1">
      <c r="I56" s="22"/>
      <c r="J56" s="2"/>
      <c r="K56" s="2"/>
      <c r="L56" s="2"/>
      <c r="M56" s="2"/>
      <c r="O56" s="15" t="s">
        <v>35</v>
      </c>
      <c r="P56" s="2"/>
      <c r="Q56" s="29"/>
      <c r="R56" s="22"/>
    </row>
    <row r="57" spans="9:18" ht="11.25" hidden="1">
      <c r="I57" s="22"/>
      <c r="J57" s="2"/>
      <c r="K57" s="2"/>
      <c r="L57" s="2"/>
      <c r="M57" s="2"/>
      <c r="O57" s="15" t="s">
        <v>37</v>
      </c>
      <c r="P57" s="2"/>
      <c r="Q57" s="29">
        <f>Q29+Q19+Q24</f>
        <v>2615344.76</v>
      </c>
      <c r="R57" s="22">
        <f>Q29+Q19+Q24</f>
        <v>2615344.76</v>
      </c>
    </row>
    <row r="58" spans="9:18" ht="11.25" hidden="1">
      <c r="I58" s="22"/>
      <c r="J58" s="12"/>
      <c r="K58" s="12"/>
      <c r="L58" s="12"/>
      <c r="M58" s="12"/>
      <c r="O58" s="15" t="s">
        <v>36</v>
      </c>
      <c r="P58" s="12"/>
      <c r="Q58" s="29">
        <f>SUM(Q13)</f>
        <v>218709.54</v>
      </c>
      <c r="R58" s="29">
        <f>SUM(Q13)</f>
        <v>218709.54</v>
      </c>
    </row>
    <row r="59" spans="9:18" ht="11.25" hidden="1">
      <c r="I59" s="22"/>
      <c r="J59" s="12"/>
      <c r="K59" s="12"/>
      <c r="L59" s="12"/>
      <c r="M59" s="12"/>
      <c r="O59" s="2" t="s">
        <v>71</v>
      </c>
      <c r="P59" s="12"/>
      <c r="Q59" s="29">
        <v>0</v>
      </c>
      <c r="R59" s="29">
        <v>0</v>
      </c>
    </row>
    <row r="60" spans="9:18" ht="11.25" hidden="1">
      <c r="I60" s="22"/>
      <c r="J60" s="12"/>
      <c r="K60" s="12"/>
      <c r="L60" s="12"/>
      <c r="M60" s="12"/>
      <c r="O60" s="2" t="s">
        <v>55</v>
      </c>
      <c r="P60" s="12"/>
      <c r="Q60" s="29">
        <v>0</v>
      </c>
      <c r="R60" s="29">
        <v>0</v>
      </c>
    </row>
    <row r="61" spans="9:18" ht="11.25" hidden="1">
      <c r="I61" s="22"/>
      <c r="J61" s="12"/>
      <c r="K61" s="12"/>
      <c r="L61" s="12"/>
      <c r="M61" s="12"/>
      <c r="O61" s="2" t="s">
        <v>71</v>
      </c>
      <c r="P61" s="12"/>
      <c r="Q61" s="29">
        <v>0</v>
      </c>
      <c r="R61" s="29">
        <v>0</v>
      </c>
    </row>
    <row r="62" spans="9:18" ht="11.25" hidden="1">
      <c r="I62" s="22"/>
      <c r="J62" s="12"/>
      <c r="K62" s="12"/>
      <c r="L62" s="12"/>
      <c r="M62" s="12"/>
      <c r="O62" s="2" t="s">
        <v>56</v>
      </c>
      <c r="P62" s="12"/>
      <c r="Q62" s="20">
        <v>0</v>
      </c>
      <c r="R62" s="20">
        <v>0</v>
      </c>
    </row>
    <row r="63" spans="9:16" ht="11.25" hidden="1">
      <c r="I63" s="22"/>
      <c r="J63" s="12"/>
      <c r="K63" s="12"/>
      <c r="L63" s="12"/>
      <c r="M63" s="12"/>
      <c r="O63" s="2"/>
      <c r="P63" s="12"/>
    </row>
    <row r="64" spans="9:18" ht="12" hidden="1" thickBot="1">
      <c r="I64" s="22"/>
      <c r="J64" s="12"/>
      <c r="K64" s="12"/>
      <c r="L64" s="12"/>
      <c r="M64" s="12"/>
      <c r="O64" s="2" t="s">
        <v>7</v>
      </c>
      <c r="P64" s="12"/>
      <c r="Q64" s="21">
        <f>SUM(Q53:Q62)</f>
        <v>80580741.11873803</v>
      </c>
      <c r="R64" s="21">
        <f>SUM(R53:R62)</f>
        <v>82879657.17873801</v>
      </c>
    </row>
    <row r="65" spans="9:18" ht="11.25" hidden="1">
      <c r="I65" s="22"/>
      <c r="Q65" s="15">
        <f>+Q35-Q64</f>
        <v>0</v>
      </c>
      <c r="R65" s="15">
        <f>Q64-R64</f>
        <v>-2298916.0599999875</v>
      </c>
    </row>
    <row r="66" spans="10:18" ht="11.25" hidden="1">
      <c r="J66" s="22"/>
      <c r="K66" s="22"/>
      <c r="L66" s="22"/>
      <c r="M66" s="22"/>
      <c r="O66" s="22"/>
      <c r="P66" s="22"/>
      <c r="Q66" s="22"/>
      <c r="R66" s="22"/>
    </row>
    <row r="67" ht="11.25" hidden="1"/>
    <row r="68" ht="11.25" hidden="1"/>
  </sheetData>
  <sheetProtection/>
  <printOptions horizontalCentered="1" verticalCentered="1"/>
  <pageMargins left="0" right="0" top="0.5" bottom="0.5" header="0.25" footer="0.25"/>
  <pageSetup fitToHeight="1" fitToWidth="1" horizontalDpi="300" verticalDpi="300" orientation="landscape" scale="79" r:id="rId1"/>
  <headerFooter alignWithMargins="0">
    <oddHeader>&amp;L11/04/15
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9">
      <selection activeCell="B21" sqref="B21"/>
    </sheetView>
  </sheetViews>
  <sheetFormatPr defaultColWidth="9.140625" defaultRowHeight="12.75"/>
  <cols>
    <col min="1" max="1" width="14.7109375" style="0" customWidth="1"/>
    <col min="3" max="3" width="9.8515625" style="0" bestFit="1" customWidth="1"/>
    <col min="15" max="15" width="9.57421875" style="0" bestFit="1" customWidth="1"/>
  </cols>
  <sheetData>
    <row r="1" spans="1:16" ht="12.75">
      <c r="A1" s="46" t="s">
        <v>99</v>
      </c>
      <c r="B1" s="47"/>
      <c r="C1" s="47"/>
      <c r="D1" s="47"/>
      <c r="E1" s="47"/>
      <c r="F1" s="47"/>
      <c r="G1" s="47"/>
      <c r="H1" s="48"/>
      <c r="I1" s="47"/>
      <c r="J1" s="47"/>
      <c r="K1" s="47"/>
      <c r="L1" s="47"/>
      <c r="M1" s="47"/>
      <c r="N1" s="49" t="s">
        <v>82</v>
      </c>
      <c r="O1" s="50"/>
      <c r="P1" s="47"/>
    </row>
    <row r="2" spans="1:16" ht="12.7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50"/>
      <c r="P2" s="47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51"/>
      <c r="N3" s="47"/>
      <c r="O3" s="50"/>
      <c r="P3" s="47"/>
    </row>
    <row r="4" spans="1:16" ht="12.75">
      <c r="A4" s="46" t="s">
        <v>83</v>
      </c>
      <c r="B4" s="52"/>
      <c r="C4" s="52"/>
      <c r="D4" s="52"/>
      <c r="E4" s="52"/>
      <c r="F4" s="52"/>
      <c r="G4" s="52"/>
      <c r="H4" s="52" t="s">
        <v>1</v>
      </c>
      <c r="I4" s="52"/>
      <c r="J4" s="52"/>
      <c r="K4" s="52"/>
      <c r="L4" s="52"/>
      <c r="M4" s="53" t="s">
        <v>29</v>
      </c>
      <c r="N4" s="52" t="s">
        <v>101</v>
      </c>
      <c r="O4" s="50"/>
      <c r="P4" s="47"/>
    </row>
    <row r="5" spans="1:16" ht="12.75">
      <c r="A5" s="47"/>
      <c r="B5" s="52" t="s">
        <v>2</v>
      </c>
      <c r="C5" s="52"/>
      <c r="D5" s="52" t="s">
        <v>3</v>
      </c>
      <c r="E5" s="52"/>
      <c r="F5" s="52"/>
      <c r="G5" s="52"/>
      <c r="H5" s="52" t="s">
        <v>4</v>
      </c>
      <c r="I5" s="52" t="s">
        <v>5</v>
      </c>
      <c r="J5" s="52"/>
      <c r="K5" s="52"/>
      <c r="L5" s="52" t="s">
        <v>6</v>
      </c>
      <c r="M5" s="53" t="s">
        <v>30</v>
      </c>
      <c r="N5" s="52" t="s">
        <v>7</v>
      </c>
      <c r="O5" s="50"/>
      <c r="P5" s="47"/>
    </row>
    <row r="6" spans="1:16" ht="12.75">
      <c r="A6" s="47"/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10</v>
      </c>
      <c r="I6" s="54" t="s">
        <v>15</v>
      </c>
      <c r="J6" s="54" t="s">
        <v>26</v>
      </c>
      <c r="K6" s="54" t="s">
        <v>14</v>
      </c>
      <c r="L6" s="54" t="s">
        <v>16</v>
      </c>
      <c r="M6" s="55" t="s">
        <v>10</v>
      </c>
      <c r="N6" s="54" t="s">
        <v>8</v>
      </c>
      <c r="O6" s="50"/>
      <c r="P6" s="47"/>
    </row>
    <row r="7" spans="1:16" ht="12.75">
      <c r="A7" s="56" t="s">
        <v>84</v>
      </c>
      <c r="B7" s="56">
        <f aca="true" t="shared" si="0" ref="B7:M9">B20+B33+B46</f>
        <v>19993360.23</v>
      </c>
      <c r="C7" s="56">
        <f t="shared" si="0"/>
        <v>0</v>
      </c>
      <c r="D7" s="56">
        <f t="shared" si="0"/>
        <v>0</v>
      </c>
      <c r="E7" s="56">
        <f t="shared" si="0"/>
        <v>5324935.81</v>
      </c>
      <c r="F7" s="56">
        <f t="shared" si="0"/>
        <v>1001681.6</v>
      </c>
      <c r="G7" s="56">
        <f t="shared" si="0"/>
        <v>3635620.52</v>
      </c>
      <c r="H7" s="56">
        <f t="shared" si="0"/>
        <v>0</v>
      </c>
      <c r="I7" s="56">
        <f aca="true" t="shared" si="1" ref="I7:J9">I20+I33+I46</f>
        <v>55429</v>
      </c>
      <c r="J7" s="56">
        <f t="shared" si="1"/>
        <v>203113.5</v>
      </c>
      <c r="K7" s="56">
        <f t="shared" si="0"/>
        <v>113293.14</v>
      </c>
      <c r="L7" s="56">
        <f t="shared" si="0"/>
        <v>1617502.65</v>
      </c>
      <c r="M7" s="56">
        <f t="shared" si="0"/>
        <v>5381113.329999999</v>
      </c>
      <c r="N7" s="47">
        <f>SUM(B7:M7)</f>
        <v>37326049.78</v>
      </c>
      <c r="O7" s="57"/>
      <c r="P7" s="56"/>
    </row>
    <row r="8" spans="1:16" ht="12.75">
      <c r="A8" s="56" t="s">
        <v>85</v>
      </c>
      <c r="B8" s="56">
        <f t="shared" si="0"/>
        <v>186523</v>
      </c>
      <c r="C8" s="56">
        <f t="shared" si="0"/>
        <v>0</v>
      </c>
      <c r="D8" s="56">
        <f t="shared" si="0"/>
        <v>0</v>
      </c>
      <c r="E8" s="56">
        <f t="shared" si="0"/>
        <v>1380.56</v>
      </c>
      <c r="F8" s="56">
        <f t="shared" si="0"/>
        <v>0</v>
      </c>
      <c r="G8" s="56">
        <f t="shared" si="0"/>
        <v>467490.9</v>
      </c>
      <c r="H8" s="56">
        <f t="shared" si="0"/>
        <v>0</v>
      </c>
      <c r="I8" s="56">
        <f t="shared" si="1"/>
        <v>398896.92999999993</v>
      </c>
      <c r="J8" s="56">
        <f t="shared" si="1"/>
        <v>290027.82</v>
      </c>
      <c r="K8" s="56">
        <f t="shared" si="0"/>
        <v>29.58</v>
      </c>
      <c r="L8" s="56">
        <f t="shared" si="0"/>
        <v>0</v>
      </c>
      <c r="M8" s="56">
        <f t="shared" si="0"/>
        <v>4933738.75</v>
      </c>
      <c r="N8" s="47">
        <f>SUM(B8:M8)</f>
        <v>6278087.54</v>
      </c>
      <c r="O8" s="57"/>
      <c r="P8" s="56"/>
    </row>
    <row r="9" spans="1:16" ht="12.75">
      <c r="A9" s="56" t="s">
        <v>86</v>
      </c>
      <c r="B9" s="56">
        <f t="shared" si="0"/>
        <v>0</v>
      </c>
      <c r="C9" s="56">
        <f t="shared" si="0"/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1"/>
        <v>0</v>
      </c>
      <c r="J9" s="56">
        <f t="shared" si="1"/>
        <v>0</v>
      </c>
      <c r="K9" s="56">
        <f t="shared" si="0"/>
        <v>26864.2</v>
      </c>
      <c r="L9" s="56">
        <f t="shared" si="0"/>
        <v>0</v>
      </c>
      <c r="M9" s="56">
        <f t="shared" si="0"/>
        <v>0</v>
      </c>
      <c r="N9" s="47">
        <f>SUM(B9:M9)</f>
        <v>26864.2</v>
      </c>
      <c r="O9" s="57"/>
      <c r="P9" s="56"/>
    </row>
    <row r="10" spans="1:16" ht="13.5" thickBot="1">
      <c r="A10" s="46" t="s">
        <v>7</v>
      </c>
      <c r="B10" s="58">
        <f aca="true" t="shared" si="2" ref="B10:M10">SUM(B7:B9)</f>
        <v>20179883.23</v>
      </c>
      <c r="C10" s="58">
        <f t="shared" si="2"/>
        <v>0</v>
      </c>
      <c r="D10" s="58">
        <f t="shared" si="2"/>
        <v>0</v>
      </c>
      <c r="E10" s="58">
        <f t="shared" si="2"/>
        <v>5326316.369999999</v>
      </c>
      <c r="F10" s="58">
        <f t="shared" si="2"/>
        <v>1001681.6</v>
      </c>
      <c r="G10" s="58">
        <f t="shared" si="2"/>
        <v>4103111.42</v>
      </c>
      <c r="H10" s="58">
        <f t="shared" si="2"/>
        <v>0</v>
      </c>
      <c r="I10" s="58">
        <f>SUM(I7:I9)</f>
        <v>454325.92999999993</v>
      </c>
      <c r="J10" s="58">
        <f>SUM(J7:J9)</f>
        <v>493141.32</v>
      </c>
      <c r="K10" s="58">
        <f t="shared" si="2"/>
        <v>140186.92</v>
      </c>
      <c r="L10" s="58">
        <f t="shared" si="2"/>
        <v>1617502.65</v>
      </c>
      <c r="M10" s="58">
        <f t="shared" si="2"/>
        <v>10314852.079999998</v>
      </c>
      <c r="N10" s="58">
        <f>SUM(B10:M10)</f>
        <v>43631001.52</v>
      </c>
      <c r="O10" s="50"/>
      <c r="P10" s="47"/>
    </row>
    <row r="11" spans="1:16" ht="13.5" thickTop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50"/>
      <c r="P11" s="47"/>
    </row>
    <row r="12" spans="1:16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50"/>
      <c r="P12" s="47"/>
    </row>
    <row r="13" spans="1:16" ht="12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50"/>
      <c r="P13" s="47"/>
    </row>
    <row r="14" spans="1:16" ht="12.75">
      <c r="A14" s="46" t="s">
        <v>99</v>
      </c>
      <c r="B14" s="47"/>
      <c r="C14" s="47"/>
      <c r="D14" s="47"/>
      <c r="E14" s="47"/>
      <c r="F14" s="47"/>
      <c r="G14" s="47"/>
      <c r="H14" s="48"/>
      <c r="I14" s="47"/>
      <c r="J14" s="47"/>
      <c r="K14" s="47"/>
      <c r="L14" s="47"/>
      <c r="M14" s="47"/>
      <c r="N14" s="49" t="s">
        <v>87</v>
      </c>
      <c r="O14" s="50"/>
      <c r="P14" s="47"/>
    </row>
    <row r="15" spans="1:16" ht="12.75">
      <c r="A15" s="46" t="s">
        <v>88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0"/>
      <c r="P15" s="47"/>
    </row>
    <row r="16" spans="1:16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1"/>
      <c r="N16" s="47"/>
      <c r="O16" s="50"/>
      <c r="P16" s="47"/>
    </row>
    <row r="17" spans="1:16" ht="12.75">
      <c r="A17" s="46" t="s">
        <v>89</v>
      </c>
      <c r="B17" s="52"/>
      <c r="C17" s="52"/>
      <c r="D17" s="52"/>
      <c r="E17" s="52"/>
      <c r="F17" s="52"/>
      <c r="G17" s="52"/>
      <c r="H17" s="52" t="s">
        <v>1</v>
      </c>
      <c r="I17" s="52"/>
      <c r="J17" s="52"/>
      <c r="K17" s="52"/>
      <c r="L17" s="52"/>
      <c r="M17" s="53" t="s">
        <v>29</v>
      </c>
      <c r="N17" s="52" t="s">
        <v>101</v>
      </c>
      <c r="O17" s="50"/>
      <c r="P17" s="47"/>
    </row>
    <row r="18" spans="1:16" ht="12.75">
      <c r="A18" s="47"/>
      <c r="B18" s="52" t="s">
        <v>2</v>
      </c>
      <c r="C18" s="52"/>
      <c r="D18" s="52" t="s">
        <v>3</v>
      </c>
      <c r="E18" s="52"/>
      <c r="F18" s="52"/>
      <c r="G18" s="52"/>
      <c r="H18" s="52" t="s">
        <v>4</v>
      </c>
      <c r="I18" s="52" t="s">
        <v>5</v>
      </c>
      <c r="J18" s="52"/>
      <c r="K18" s="52"/>
      <c r="L18" s="52" t="s">
        <v>6</v>
      </c>
      <c r="M18" s="53" t="s">
        <v>30</v>
      </c>
      <c r="N18" s="52" t="s">
        <v>7</v>
      </c>
      <c r="O18" s="50"/>
      <c r="P18" s="47"/>
    </row>
    <row r="19" spans="1:16" ht="12.75">
      <c r="A19" s="47"/>
      <c r="B19" s="54" t="s">
        <v>8</v>
      </c>
      <c r="C19" s="54" t="s">
        <v>9</v>
      </c>
      <c r="D19" s="54" t="s">
        <v>10</v>
      </c>
      <c r="E19" s="54" t="s">
        <v>11</v>
      </c>
      <c r="F19" s="54" t="s">
        <v>12</v>
      </c>
      <c r="G19" s="54" t="s">
        <v>13</v>
      </c>
      <c r="H19" s="54" t="s">
        <v>10</v>
      </c>
      <c r="I19" s="54" t="s">
        <v>15</v>
      </c>
      <c r="J19" s="54" t="s">
        <v>26</v>
      </c>
      <c r="K19" s="54" t="s">
        <v>14</v>
      </c>
      <c r="L19" s="54" t="s">
        <v>16</v>
      </c>
      <c r="M19" s="55" t="s">
        <v>10</v>
      </c>
      <c r="N19" s="54" t="s">
        <v>8</v>
      </c>
      <c r="O19" s="50"/>
      <c r="P19" s="47"/>
    </row>
    <row r="20" spans="1:16" ht="12.75">
      <c r="A20" s="56" t="s">
        <v>84</v>
      </c>
      <c r="B20" s="56">
        <v>5437937.41</v>
      </c>
      <c r="C20" s="56">
        <v>0</v>
      </c>
      <c r="D20" s="56">
        <v>0</v>
      </c>
      <c r="E20" s="56">
        <v>5324935.81</v>
      </c>
      <c r="F20" s="56"/>
      <c r="G20" s="56">
        <v>31964.57</v>
      </c>
      <c r="H20" s="56"/>
      <c r="I20" s="56">
        <v>0</v>
      </c>
      <c r="J20" s="56">
        <f>159.78</f>
        <v>159.78</v>
      </c>
      <c r="K20" s="56"/>
      <c r="L20" s="56"/>
      <c r="M20" s="56">
        <v>0</v>
      </c>
      <c r="N20" s="47">
        <f>SUM(B20:M20)</f>
        <v>10794997.569999998</v>
      </c>
      <c r="O20" s="57"/>
      <c r="P20" s="56"/>
    </row>
    <row r="21" spans="1:16" ht="12.75">
      <c r="A21" s="56" t="s">
        <v>85</v>
      </c>
      <c r="B21" s="56">
        <v>186523</v>
      </c>
      <c r="C21" s="56"/>
      <c r="D21" s="56"/>
      <c r="E21" s="56">
        <v>1380.56</v>
      </c>
      <c r="F21" s="56"/>
      <c r="G21" s="56">
        <v>250052.62</v>
      </c>
      <c r="H21" s="56">
        <v>0</v>
      </c>
      <c r="I21" s="56">
        <v>357392.85</v>
      </c>
      <c r="J21" s="56">
        <v>208610.01</v>
      </c>
      <c r="K21" s="56"/>
      <c r="L21" s="56"/>
      <c r="M21" s="56"/>
      <c r="N21" s="47">
        <f>SUM(B21:M21)</f>
        <v>1003959.04</v>
      </c>
      <c r="O21" s="57"/>
      <c r="P21" s="56"/>
    </row>
    <row r="22" spans="1:16" ht="12.75">
      <c r="A22" s="56" t="s">
        <v>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47">
        <f>SUM(B22:M22)</f>
        <v>0</v>
      </c>
      <c r="O22" s="57"/>
      <c r="P22" s="56"/>
    </row>
    <row r="23" spans="1:16" ht="13.5" thickBot="1">
      <c r="A23" s="46" t="s">
        <v>7</v>
      </c>
      <c r="B23" s="58">
        <f aca="true" t="shared" si="3" ref="B23:M23">SUM(B20:B22)</f>
        <v>5624460.41</v>
      </c>
      <c r="C23" s="58">
        <f t="shared" si="3"/>
        <v>0</v>
      </c>
      <c r="D23" s="58">
        <f t="shared" si="3"/>
        <v>0</v>
      </c>
      <c r="E23" s="58">
        <f t="shared" si="3"/>
        <v>5326316.369999999</v>
      </c>
      <c r="F23" s="58">
        <f t="shared" si="3"/>
        <v>0</v>
      </c>
      <c r="G23" s="58">
        <f t="shared" si="3"/>
        <v>282017.19</v>
      </c>
      <c r="H23" s="58">
        <f t="shared" si="3"/>
        <v>0</v>
      </c>
      <c r="I23" s="58">
        <f>SUM(I20:I22)</f>
        <v>357392.85</v>
      </c>
      <c r="J23" s="58">
        <f>SUM(J20:J22)</f>
        <v>208769.79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>SUM(B23:M23)</f>
        <v>11798956.609999998</v>
      </c>
      <c r="O23" s="50"/>
      <c r="P23" s="47"/>
    </row>
    <row r="24" spans="1:16" ht="13.5" thickTop="1">
      <c r="A24" s="47"/>
      <c r="B24" s="51"/>
      <c r="C24" s="51"/>
      <c r="D24" s="51"/>
      <c r="E24" s="51"/>
      <c r="F24" s="51"/>
      <c r="G24" s="51"/>
      <c r="H24" s="51"/>
      <c r="I24" s="51"/>
      <c r="J24" s="47"/>
      <c r="K24" s="51"/>
      <c r="L24" s="47"/>
      <c r="M24" s="47"/>
      <c r="N24" s="51"/>
      <c r="O24" s="50"/>
      <c r="P24" s="47"/>
    </row>
    <row r="25" spans="1:16" ht="12.75">
      <c r="A25" s="47"/>
      <c r="B25" s="51"/>
      <c r="C25" s="51"/>
      <c r="D25" s="51"/>
      <c r="E25" s="51"/>
      <c r="F25" s="51"/>
      <c r="G25" s="51"/>
      <c r="H25" s="51"/>
      <c r="I25" s="51"/>
      <c r="J25" s="47"/>
      <c r="K25" s="51"/>
      <c r="L25" s="47"/>
      <c r="M25" s="47"/>
      <c r="N25" s="51"/>
      <c r="O25" s="50"/>
      <c r="P25" s="47"/>
    </row>
    <row r="26" spans="1:16" ht="12.75">
      <c r="A26" s="47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47"/>
      <c r="M26" s="51"/>
      <c r="N26" s="51"/>
      <c r="O26" s="50"/>
      <c r="P26" s="47"/>
    </row>
    <row r="27" spans="1:16" ht="12.75">
      <c r="A27" s="46" t="s">
        <v>99</v>
      </c>
      <c r="B27" s="47"/>
      <c r="C27" s="47"/>
      <c r="D27" s="47"/>
      <c r="E27" s="47"/>
      <c r="F27" s="47"/>
      <c r="G27" s="47"/>
      <c r="H27" s="48"/>
      <c r="I27" s="47"/>
      <c r="J27" s="47"/>
      <c r="K27" s="47"/>
      <c r="L27" s="47"/>
      <c r="M27" s="47"/>
      <c r="N27" s="49" t="s">
        <v>90</v>
      </c>
      <c r="O27" s="50"/>
      <c r="P27" s="47"/>
    </row>
    <row r="28" spans="1:16" ht="12.75">
      <c r="A28" s="46" t="s">
        <v>31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0"/>
      <c r="P28" s="47"/>
    </row>
    <row r="29" spans="1:16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51"/>
      <c r="N29" s="47"/>
      <c r="O29" s="50"/>
      <c r="P29" s="47"/>
    </row>
    <row r="30" spans="1:16" ht="12.75">
      <c r="A30" s="46" t="s">
        <v>91</v>
      </c>
      <c r="B30" s="52"/>
      <c r="C30" s="52"/>
      <c r="D30" s="52"/>
      <c r="E30" s="52"/>
      <c r="F30" s="52"/>
      <c r="G30" s="52"/>
      <c r="H30" s="52" t="s">
        <v>1</v>
      </c>
      <c r="I30" s="52"/>
      <c r="J30" s="52"/>
      <c r="K30" s="52"/>
      <c r="L30" s="52"/>
      <c r="M30" s="53" t="s">
        <v>29</v>
      </c>
      <c r="N30" s="52" t="s">
        <v>101</v>
      </c>
      <c r="O30" s="50"/>
      <c r="P30" s="47"/>
    </row>
    <row r="31" spans="1:16" ht="12.75">
      <c r="A31" s="47"/>
      <c r="B31" s="52" t="s">
        <v>2</v>
      </c>
      <c r="C31" s="52"/>
      <c r="D31" s="52" t="s">
        <v>3</v>
      </c>
      <c r="E31" s="52"/>
      <c r="F31" s="52"/>
      <c r="G31" s="52"/>
      <c r="H31" s="52" t="s">
        <v>4</v>
      </c>
      <c r="I31" s="52" t="s">
        <v>5</v>
      </c>
      <c r="J31" s="52"/>
      <c r="K31" s="52"/>
      <c r="L31" s="52" t="s">
        <v>6</v>
      </c>
      <c r="M31" s="53" t="s">
        <v>30</v>
      </c>
      <c r="N31" s="52" t="s">
        <v>7</v>
      </c>
      <c r="O31" s="50"/>
      <c r="P31" s="47"/>
    </row>
    <row r="32" spans="1:16" ht="12.75">
      <c r="A32" s="47"/>
      <c r="B32" s="54" t="s">
        <v>8</v>
      </c>
      <c r="C32" s="54" t="s">
        <v>9</v>
      </c>
      <c r="D32" s="54" t="s">
        <v>10</v>
      </c>
      <c r="E32" s="54" t="s">
        <v>11</v>
      </c>
      <c r="F32" s="54" t="s">
        <v>12</v>
      </c>
      <c r="G32" s="54" t="s">
        <v>13</v>
      </c>
      <c r="H32" s="54" t="s">
        <v>10</v>
      </c>
      <c r="I32" s="54" t="s">
        <v>15</v>
      </c>
      <c r="J32" s="54" t="s">
        <v>26</v>
      </c>
      <c r="K32" s="54" t="s">
        <v>14</v>
      </c>
      <c r="L32" s="54" t="s">
        <v>16</v>
      </c>
      <c r="M32" s="55" t="s">
        <v>10</v>
      </c>
      <c r="N32" s="54" t="s">
        <v>8</v>
      </c>
      <c r="O32" s="50"/>
      <c r="P32" s="47"/>
    </row>
    <row r="33" spans="1:16" ht="12.75">
      <c r="A33" s="56" t="s">
        <v>84</v>
      </c>
      <c r="B33" s="56">
        <v>6066020.34</v>
      </c>
      <c r="C33" s="56">
        <v>0</v>
      </c>
      <c r="D33" s="56"/>
      <c r="E33" s="56">
        <v>0</v>
      </c>
      <c r="F33" s="56">
        <v>1001681.6</v>
      </c>
      <c r="G33" s="56">
        <v>36352</v>
      </c>
      <c r="H33" s="56">
        <v>0</v>
      </c>
      <c r="I33" s="56">
        <v>55429</v>
      </c>
      <c r="J33" s="56">
        <f>25+26508.67</f>
        <v>26533.67</v>
      </c>
      <c r="K33" s="56">
        <v>113293.14</v>
      </c>
      <c r="L33" s="56">
        <v>1617502.65</v>
      </c>
      <c r="M33" s="56">
        <f>17566.25+3502536.04+279234.41+19529.91+1182773.05+17685.39+29775.81+90179.96</f>
        <v>5139280.819999999</v>
      </c>
      <c r="N33" s="47">
        <f>SUM(B33:M33)</f>
        <v>14056093.219999999</v>
      </c>
      <c r="O33" s="57"/>
      <c r="P33" s="56"/>
    </row>
    <row r="34" spans="1:16" ht="12.75">
      <c r="A34" s="56" t="s">
        <v>85</v>
      </c>
      <c r="B34" s="56"/>
      <c r="C34" s="56"/>
      <c r="D34" s="56"/>
      <c r="E34" s="56"/>
      <c r="F34" s="56"/>
      <c r="G34" s="56">
        <v>217438.28</v>
      </c>
      <c r="H34" s="56"/>
      <c r="I34" s="56">
        <v>6413.41</v>
      </c>
      <c r="J34" s="56">
        <v>81417.81</v>
      </c>
      <c r="K34" s="56">
        <v>29.58</v>
      </c>
      <c r="L34" s="56"/>
      <c r="M34" s="56">
        <v>4933738.75</v>
      </c>
      <c r="N34" s="47">
        <f>SUM(B34:M34)</f>
        <v>5239037.83</v>
      </c>
      <c r="O34" s="57"/>
      <c r="P34" s="56"/>
    </row>
    <row r="35" spans="1:16" ht="12.75">
      <c r="A35" s="56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>
        <v>26864.2</v>
      </c>
      <c r="L35" s="59"/>
      <c r="M35" s="59"/>
      <c r="N35" s="60">
        <f>SUM(B35:M35)</f>
        <v>26864.2</v>
      </c>
      <c r="O35" s="57"/>
      <c r="P35" s="56"/>
    </row>
    <row r="36" spans="1:16" ht="13.5" thickBot="1">
      <c r="A36" s="46" t="s">
        <v>7</v>
      </c>
      <c r="B36" s="58">
        <f aca="true" t="shared" si="4" ref="B36:M36">SUM(B33:B35)</f>
        <v>6066020.34</v>
      </c>
      <c r="C36" s="58">
        <f t="shared" si="4"/>
        <v>0</v>
      </c>
      <c r="D36" s="58">
        <f t="shared" si="4"/>
        <v>0</v>
      </c>
      <c r="E36" s="58">
        <f t="shared" si="4"/>
        <v>0</v>
      </c>
      <c r="F36" s="58">
        <f t="shared" si="4"/>
        <v>1001681.6</v>
      </c>
      <c r="G36" s="58">
        <f t="shared" si="4"/>
        <v>253790.28</v>
      </c>
      <c r="H36" s="58">
        <f t="shared" si="4"/>
        <v>0</v>
      </c>
      <c r="I36" s="58">
        <f>SUM(I33:I35)</f>
        <v>61842.41</v>
      </c>
      <c r="J36" s="58">
        <f>SUM(J33:J35)</f>
        <v>107951.48</v>
      </c>
      <c r="K36" s="58">
        <f t="shared" si="4"/>
        <v>140186.92</v>
      </c>
      <c r="L36" s="58">
        <f t="shared" si="4"/>
        <v>1617502.65</v>
      </c>
      <c r="M36" s="58">
        <f t="shared" si="4"/>
        <v>10073019.57</v>
      </c>
      <c r="N36" s="58">
        <f>SUM(B36:M36)</f>
        <v>19321995.25</v>
      </c>
      <c r="O36" s="50"/>
      <c r="P36" s="47"/>
    </row>
    <row r="37" spans="1:16" ht="13.5" thickTop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50"/>
      <c r="P37" s="47"/>
    </row>
    <row r="38" spans="1:16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0"/>
      <c r="P38" s="47"/>
    </row>
    <row r="39" spans="1:16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0"/>
      <c r="P39" s="47"/>
    </row>
    <row r="40" spans="1:16" ht="12.75">
      <c r="A40" s="46" t="s">
        <v>99</v>
      </c>
      <c r="B40" s="47"/>
      <c r="C40" s="47"/>
      <c r="D40" s="47"/>
      <c r="E40" s="47"/>
      <c r="F40" s="47"/>
      <c r="G40" s="47"/>
      <c r="H40" s="48"/>
      <c r="I40" s="47"/>
      <c r="J40" s="47"/>
      <c r="K40" s="47"/>
      <c r="L40" s="47"/>
      <c r="M40" s="47"/>
      <c r="N40" s="49" t="s">
        <v>92</v>
      </c>
      <c r="O40" s="50"/>
      <c r="P40" s="47"/>
    </row>
    <row r="41" spans="1:16" ht="12.75">
      <c r="A41" s="46" t="s">
        <v>28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0"/>
      <c r="P41" s="47"/>
    </row>
    <row r="42" spans="1:16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51"/>
      <c r="N42" s="47"/>
      <c r="O42" s="50"/>
      <c r="P42" s="47"/>
    </row>
    <row r="43" spans="1:16" ht="12.75">
      <c r="A43" s="46" t="s">
        <v>91</v>
      </c>
      <c r="B43" s="52"/>
      <c r="C43" s="52"/>
      <c r="D43" s="52"/>
      <c r="E43" s="52"/>
      <c r="F43" s="52"/>
      <c r="G43" s="52"/>
      <c r="H43" s="52" t="s">
        <v>1</v>
      </c>
      <c r="I43" s="52"/>
      <c r="J43" s="52"/>
      <c r="K43" s="52"/>
      <c r="L43" s="52"/>
      <c r="M43" s="53" t="s">
        <v>29</v>
      </c>
      <c r="N43" s="52" t="s">
        <v>101</v>
      </c>
      <c r="O43" s="50"/>
      <c r="P43" s="47"/>
    </row>
    <row r="44" spans="1:16" ht="12.75">
      <c r="A44" s="47"/>
      <c r="B44" s="52" t="s">
        <v>2</v>
      </c>
      <c r="C44" s="52"/>
      <c r="D44" s="52" t="s">
        <v>3</v>
      </c>
      <c r="E44" s="52"/>
      <c r="F44" s="52"/>
      <c r="G44" s="52"/>
      <c r="H44" s="52" t="s">
        <v>4</v>
      </c>
      <c r="I44" s="52" t="s">
        <v>5</v>
      </c>
      <c r="J44" s="52"/>
      <c r="K44" s="52"/>
      <c r="L44" s="52" t="s">
        <v>6</v>
      </c>
      <c r="M44" s="53" t="s">
        <v>30</v>
      </c>
      <c r="N44" s="52" t="s">
        <v>7</v>
      </c>
      <c r="O44" s="50"/>
      <c r="P44" s="47"/>
    </row>
    <row r="45" spans="1:16" ht="12.75">
      <c r="A45" s="47"/>
      <c r="B45" s="54" t="s">
        <v>8</v>
      </c>
      <c r="C45" s="54" t="s">
        <v>9</v>
      </c>
      <c r="D45" s="54" t="s">
        <v>10</v>
      </c>
      <c r="E45" s="54" t="s">
        <v>11</v>
      </c>
      <c r="F45" s="54" t="s">
        <v>12</v>
      </c>
      <c r="G45" s="54" t="s">
        <v>13</v>
      </c>
      <c r="H45" s="54" t="s">
        <v>10</v>
      </c>
      <c r="I45" s="54" t="s">
        <v>15</v>
      </c>
      <c r="J45" s="54" t="s">
        <v>26</v>
      </c>
      <c r="K45" s="54" t="s">
        <v>14</v>
      </c>
      <c r="L45" s="54" t="s">
        <v>16</v>
      </c>
      <c r="M45" s="55" t="s">
        <v>10</v>
      </c>
      <c r="N45" s="54" t="s">
        <v>8</v>
      </c>
      <c r="O45" s="50"/>
      <c r="P45" s="47"/>
    </row>
    <row r="46" spans="1:16" ht="12.75">
      <c r="A46" s="56" t="s">
        <v>84</v>
      </c>
      <c r="B46" s="56">
        <v>8489402.48</v>
      </c>
      <c r="C46" s="56"/>
      <c r="D46" s="56"/>
      <c r="E46" s="56">
        <v>0</v>
      </c>
      <c r="F46" s="56"/>
      <c r="G46" s="56">
        <v>3567303.95</v>
      </c>
      <c r="H46" s="56"/>
      <c r="I46" s="56">
        <v>0</v>
      </c>
      <c r="J46" s="56">
        <f>22274.61+44732+878.75+106939.69+1595</f>
        <v>176420.05</v>
      </c>
      <c r="K46" s="56">
        <v>0</v>
      </c>
      <c r="L46" s="56"/>
      <c r="M46" s="56">
        <v>241832.51</v>
      </c>
      <c r="N46" s="47">
        <f>SUM(B46:M46)</f>
        <v>12474958.99</v>
      </c>
      <c r="O46" s="57"/>
      <c r="P46" s="56"/>
    </row>
    <row r="47" spans="1:16" ht="12.75">
      <c r="A47" s="56" t="s">
        <v>85</v>
      </c>
      <c r="B47" s="56"/>
      <c r="C47" s="56"/>
      <c r="D47" s="56"/>
      <c r="E47" s="56"/>
      <c r="F47" s="56"/>
      <c r="G47" s="56"/>
      <c r="H47" s="56"/>
      <c r="I47" s="56">
        <v>35090.67</v>
      </c>
      <c r="J47" s="56"/>
      <c r="K47" s="56"/>
      <c r="L47" s="56"/>
      <c r="M47" s="56"/>
      <c r="N47" s="47">
        <f>SUM(B47:M47)</f>
        <v>35090.67</v>
      </c>
      <c r="O47" s="57"/>
      <c r="P47" s="56"/>
    </row>
    <row r="48" spans="1:16" ht="12.75">
      <c r="A48" s="56" t="s">
        <v>86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>
        <f>SUM(B48:M48)</f>
        <v>0</v>
      </c>
      <c r="O48" s="57"/>
      <c r="P48" s="56"/>
    </row>
    <row r="49" spans="1:16" ht="13.5" thickBot="1">
      <c r="A49" s="46" t="s">
        <v>7</v>
      </c>
      <c r="B49" s="58">
        <f aca="true" t="shared" si="5" ref="B49:M49">SUM(B46:B48)</f>
        <v>8489402.48</v>
      </c>
      <c r="C49" s="58">
        <f t="shared" si="5"/>
        <v>0</v>
      </c>
      <c r="D49" s="58">
        <f t="shared" si="5"/>
        <v>0</v>
      </c>
      <c r="E49" s="58">
        <f t="shared" si="5"/>
        <v>0</v>
      </c>
      <c r="F49" s="58">
        <f t="shared" si="5"/>
        <v>0</v>
      </c>
      <c r="G49" s="58">
        <f t="shared" si="5"/>
        <v>3567303.95</v>
      </c>
      <c r="H49" s="58">
        <f t="shared" si="5"/>
        <v>0</v>
      </c>
      <c r="I49" s="58">
        <f>SUM(I46:I48)</f>
        <v>35090.67</v>
      </c>
      <c r="J49" s="58">
        <f>SUM(J46:J48)</f>
        <v>176420.05</v>
      </c>
      <c r="K49" s="58">
        <f t="shared" si="5"/>
        <v>0</v>
      </c>
      <c r="L49" s="58">
        <f t="shared" si="5"/>
        <v>0</v>
      </c>
      <c r="M49" s="58">
        <f t="shared" si="5"/>
        <v>241832.51</v>
      </c>
      <c r="N49" s="58">
        <f>SUM(B49:M49)</f>
        <v>12510049.66</v>
      </c>
      <c r="O49" s="50"/>
      <c r="P49" s="47"/>
    </row>
    <row r="50" spans="1:16" ht="13.5" thickTop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50"/>
      <c r="P50" s="47"/>
    </row>
    <row r="51" spans="1:16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50"/>
      <c r="P51" s="47"/>
    </row>
    <row r="52" spans="1:16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50"/>
      <c r="P52" s="47"/>
    </row>
    <row r="53" spans="1:16" ht="12.75">
      <c r="A53" s="46" t="s">
        <v>99</v>
      </c>
      <c r="B53" s="47"/>
      <c r="C53" s="47"/>
      <c r="D53" s="47"/>
      <c r="E53" s="47"/>
      <c r="F53" s="47"/>
      <c r="G53" s="47"/>
      <c r="H53" s="48"/>
      <c r="I53" s="47"/>
      <c r="J53" s="47"/>
      <c r="K53" s="47"/>
      <c r="L53" s="47"/>
      <c r="M53" s="47"/>
      <c r="N53" s="47"/>
      <c r="O53" s="49" t="s">
        <v>93</v>
      </c>
      <c r="P53" s="50"/>
    </row>
    <row r="54" spans="1:16" ht="12.75">
      <c r="A54" s="46" t="s">
        <v>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50"/>
      <c r="P54" s="47"/>
    </row>
    <row r="55" spans="1:16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51"/>
      <c r="N55" s="47"/>
      <c r="O55" s="50"/>
      <c r="P55" s="47"/>
    </row>
    <row r="56" spans="1:16" ht="12.75">
      <c r="A56" s="46" t="s">
        <v>94</v>
      </c>
      <c r="B56" s="52"/>
      <c r="C56" s="52"/>
      <c r="D56" s="52"/>
      <c r="E56" s="52"/>
      <c r="F56" s="52"/>
      <c r="G56" s="52"/>
      <c r="H56" s="52" t="s">
        <v>1</v>
      </c>
      <c r="I56" s="52"/>
      <c r="J56" s="52"/>
      <c r="K56" s="52"/>
      <c r="L56" s="52"/>
      <c r="M56" s="53" t="s">
        <v>29</v>
      </c>
      <c r="N56" s="52"/>
      <c r="O56" s="52" t="s">
        <v>101</v>
      </c>
      <c r="P56" s="50"/>
    </row>
    <row r="57" spans="1:16" ht="12.75">
      <c r="A57" s="47"/>
      <c r="B57" s="52" t="s">
        <v>2</v>
      </c>
      <c r="C57" s="52"/>
      <c r="D57" s="52" t="s">
        <v>3</v>
      </c>
      <c r="E57" s="52"/>
      <c r="F57" s="52"/>
      <c r="G57" s="52"/>
      <c r="H57" s="52" t="s">
        <v>4</v>
      </c>
      <c r="I57" s="52" t="s">
        <v>5</v>
      </c>
      <c r="J57" s="52"/>
      <c r="K57" s="52"/>
      <c r="L57" s="52" t="s">
        <v>6</v>
      </c>
      <c r="M57" s="53" t="s">
        <v>30</v>
      </c>
      <c r="N57" s="52"/>
      <c r="O57" s="52" t="s">
        <v>7</v>
      </c>
      <c r="P57" s="50"/>
    </row>
    <row r="58" spans="1:16" ht="12.75">
      <c r="A58" s="47"/>
      <c r="B58" s="54" t="s">
        <v>8</v>
      </c>
      <c r="C58" s="54" t="s">
        <v>9</v>
      </c>
      <c r="D58" s="54" t="s">
        <v>10</v>
      </c>
      <c r="E58" s="54" t="s">
        <v>11</v>
      </c>
      <c r="F58" s="54" t="s">
        <v>12</v>
      </c>
      <c r="G58" s="54" t="s">
        <v>13</v>
      </c>
      <c r="H58" s="54" t="s">
        <v>10</v>
      </c>
      <c r="I58" s="54" t="s">
        <v>15</v>
      </c>
      <c r="J58" s="54" t="s">
        <v>26</v>
      </c>
      <c r="K58" s="54" t="s">
        <v>14</v>
      </c>
      <c r="L58" s="54" t="s">
        <v>16</v>
      </c>
      <c r="M58" s="55" t="s">
        <v>10</v>
      </c>
      <c r="N58" s="54" t="s">
        <v>95</v>
      </c>
      <c r="O58" s="54" t="s">
        <v>8</v>
      </c>
      <c r="P58" s="50"/>
    </row>
    <row r="59" spans="1:16" ht="12.75">
      <c r="A59" s="47" t="s">
        <v>96</v>
      </c>
      <c r="B59" s="47">
        <v>23244056</v>
      </c>
      <c r="C59" s="47">
        <v>90322526</v>
      </c>
      <c r="D59" s="47">
        <v>31221044</v>
      </c>
      <c r="E59" s="47">
        <v>9267032</v>
      </c>
      <c r="F59" s="47">
        <v>8362460</v>
      </c>
      <c r="G59" s="47">
        <v>30156007</v>
      </c>
      <c r="H59" s="47">
        <v>10605951</v>
      </c>
      <c r="I59" s="47">
        <v>16990321</v>
      </c>
      <c r="J59" s="47">
        <v>0</v>
      </c>
      <c r="K59" s="47">
        <v>1856581</v>
      </c>
      <c r="L59" s="47">
        <v>25199306</v>
      </c>
      <c r="M59" s="47">
        <v>21890663</v>
      </c>
      <c r="N59" s="47">
        <v>9400957</v>
      </c>
      <c r="O59" s="47">
        <f>SUM(B59:N59)</f>
        <v>278516904</v>
      </c>
      <c r="P59" s="50"/>
    </row>
    <row r="60" spans="1:16" ht="12.75">
      <c r="A60" s="47" t="s">
        <v>97</v>
      </c>
      <c r="B60" s="47">
        <f aca="true" t="shared" si="6" ref="B60:M60">B10</f>
        <v>20179883.23</v>
      </c>
      <c r="C60" s="47">
        <f t="shared" si="6"/>
        <v>0</v>
      </c>
      <c r="D60" s="47">
        <f t="shared" si="6"/>
        <v>0</v>
      </c>
      <c r="E60" s="47">
        <f t="shared" si="6"/>
        <v>5326316.369999999</v>
      </c>
      <c r="F60" s="47">
        <f t="shared" si="6"/>
        <v>1001681.6</v>
      </c>
      <c r="G60" s="47">
        <f t="shared" si="6"/>
        <v>4103111.42</v>
      </c>
      <c r="H60" s="47">
        <f t="shared" si="6"/>
        <v>0</v>
      </c>
      <c r="I60" s="47">
        <f>I10</f>
        <v>454325.92999999993</v>
      </c>
      <c r="J60" s="47">
        <f>J10</f>
        <v>493141.32</v>
      </c>
      <c r="K60" s="47">
        <f t="shared" si="6"/>
        <v>140186.92</v>
      </c>
      <c r="L60" s="47">
        <f t="shared" si="6"/>
        <v>1617502.65</v>
      </c>
      <c r="M60" s="47">
        <f t="shared" si="6"/>
        <v>10314852.079999998</v>
      </c>
      <c r="N60" s="47"/>
      <c r="O60" s="47">
        <f>SUM(B60:N60)</f>
        <v>43631001.52</v>
      </c>
      <c r="P60" s="50" t="s">
        <v>33</v>
      </c>
    </row>
    <row r="61" spans="1:16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50"/>
    </row>
    <row r="62" spans="1:16" ht="13.5" thickBot="1">
      <c r="A62" s="46" t="s">
        <v>7</v>
      </c>
      <c r="B62" s="61">
        <f aca="true" t="shared" si="7" ref="B62:O62">SUM(B59:B61)</f>
        <v>43423939.230000004</v>
      </c>
      <c r="C62" s="61">
        <f t="shared" si="7"/>
        <v>90322526</v>
      </c>
      <c r="D62" s="61">
        <f t="shared" si="7"/>
        <v>31221044</v>
      </c>
      <c r="E62" s="61">
        <f t="shared" si="7"/>
        <v>14593348.37</v>
      </c>
      <c r="F62" s="61">
        <f t="shared" si="7"/>
        <v>9364141.6</v>
      </c>
      <c r="G62" s="61">
        <f t="shared" si="7"/>
        <v>34259118.42</v>
      </c>
      <c r="H62" s="61">
        <f t="shared" si="7"/>
        <v>10605951</v>
      </c>
      <c r="I62" s="61">
        <f>SUM(I59:I61)</f>
        <v>17444646.93</v>
      </c>
      <c r="J62" s="61">
        <f>SUM(J59:J61)</f>
        <v>493141.32</v>
      </c>
      <c r="K62" s="61">
        <f t="shared" si="7"/>
        <v>1996767.92</v>
      </c>
      <c r="L62" s="61">
        <f t="shared" si="7"/>
        <v>26816808.65</v>
      </c>
      <c r="M62" s="61">
        <f t="shared" si="7"/>
        <v>32205515.08</v>
      </c>
      <c r="N62" s="61">
        <f t="shared" si="7"/>
        <v>9400957</v>
      </c>
      <c r="O62" s="61">
        <f t="shared" si="7"/>
        <v>322147905.52</v>
      </c>
      <c r="P62" s="50"/>
    </row>
    <row r="63" spans="1:16" ht="13.5" thickTop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0"/>
      <c r="P63" s="47"/>
    </row>
    <row r="64" spans="1:16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50"/>
      <c r="P64" s="47"/>
    </row>
    <row r="65" spans="1:16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50"/>
      <c r="P65" s="47"/>
    </row>
    <row r="66" spans="1:16" ht="12.75">
      <c r="A66" s="46" t="s">
        <v>100</v>
      </c>
      <c r="B66" s="47"/>
      <c r="C66" s="47"/>
      <c r="D66" s="47"/>
      <c r="E66" s="47"/>
      <c r="F66" s="47"/>
      <c r="G66" s="47"/>
      <c r="H66" s="48"/>
      <c r="I66" s="47"/>
      <c r="J66" s="47"/>
      <c r="K66" s="47"/>
      <c r="L66" s="47"/>
      <c r="M66" s="47"/>
      <c r="N66" s="47"/>
      <c r="O66" s="49" t="s">
        <v>93</v>
      </c>
      <c r="P66" s="50"/>
    </row>
    <row r="67" spans="1:16" ht="12.75">
      <c r="A67" s="46" t="s">
        <v>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50"/>
    </row>
    <row r="68" spans="1:16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51"/>
      <c r="N68" s="47"/>
      <c r="O68" s="47"/>
      <c r="P68" s="50"/>
    </row>
    <row r="69" spans="1:16" ht="12.75">
      <c r="A69" s="46" t="s">
        <v>98</v>
      </c>
      <c r="B69" s="52"/>
      <c r="C69" s="52"/>
      <c r="D69" s="52"/>
      <c r="E69" s="52"/>
      <c r="F69" s="52"/>
      <c r="G69" s="52"/>
      <c r="H69" s="52" t="s">
        <v>1</v>
      </c>
      <c r="I69" s="52"/>
      <c r="J69" s="52"/>
      <c r="K69" s="52"/>
      <c r="L69" s="52"/>
      <c r="M69" s="53" t="s">
        <v>29</v>
      </c>
      <c r="N69" s="52"/>
      <c r="O69" s="52" t="s">
        <v>101</v>
      </c>
      <c r="P69" s="50"/>
    </row>
    <row r="70" spans="1:16" ht="12.75">
      <c r="A70" s="47"/>
      <c r="B70" s="52" t="s">
        <v>2</v>
      </c>
      <c r="C70" s="52"/>
      <c r="D70" s="52" t="s">
        <v>3</v>
      </c>
      <c r="E70" s="52"/>
      <c r="F70" s="52"/>
      <c r="G70" s="52"/>
      <c r="H70" s="52" t="s">
        <v>4</v>
      </c>
      <c r="I70" s="52" t="s">
        <v>5</v>
      </c>
      <c r="J70" s="52"/>
      <c r="K70" s="52"/>
      <c r="L70" s="52" t="s">
        <v>6</v>
      </c>
      <c r="M70" s="53" t="s">
        <v>30</v>
      </c>
      <c r="N70" s="52"/>
      <c r="O70" s="52" t="s">
        <v>7</v>
      </c>
      <c r="P70" s="50"/>
    </row>
    <row r="71" spans="1:16" ht="12.75">
      <c r="A71" s="47"/>
      <c r="B71" s="54" t="s">
        <v>8</v>
      </c>
      <c r="C71" s="54" t="s">
        <v>9</v>
      </c>
      <c r="D71" s="54" t="s">
        <v>10</v>
      </c>
      <c r="E71" s="54" t="s">
        <v>11</v>
      </c>
      <c r="F71" s="54" t="s">
        <v>12</v>
      </c>
      <c r="G71" s="54" t="s">
        <v>13</v>
      </c>
      <c r="H71" s="54" t="s">
        <v>10</v>
      </c>
      <c r="I71" s="54" t="s">
        <v>15</v>
      </c>
      <c r="J71" s="54" t="s">
        <v>26</v>
      </c>
      <c r="K71" s="54" t="s">
        <v>14</v>
      </c>
      <c r="L71" s="54" t="s">
        <v>16</v>
      </c>
      <c r="M71" s="55" t="s">
        <v>10</v>
      </c>
      <c r="N71" s="54" t="s">
        <v>95</v>
      </c>
      <c r="O71" s="54" t="s">
        <v>8</v>
      </c>
      <c r="P71" s="50"/>
    </row>
    <row r="72" spans="1:16" ht="12.75">
      <c r="A72" s="47" t="s">
        <v>96</v>
      </c>
      <c r="B72" s="47">
        <v>19802522</v>
      </c>
      <c r="C72" s="47">
        <v>96904481</v>
      </c>
      <c r="D72" s="47">
        <v>29112917</v>
      </c>
      <c r="E72" s="47">
        <v>6730975</v>
      </c>
      <c r="F72" s="47">
        <v>12382872</v>
      </c>
      <c r="G72" s="47">
        <v>27730925</v>
      </c>
      <c r="H72" s="47">
        <v>10463557</v>
      </c>
      <c r="I72" s="47">
        <v>17266324</v>
      </c>
      <c r="J72" s="47">
        <v>1441580</v>
      </c>
      <c r="K72" s="47">
        <v>2764186</v>
      </c>
      <c r="L72" s="47">
        <v>26781918</v>
      </c>
      <c r="M72" s="47">
        <v>19436573</v>
      </c>
      <c r="N72" s="47">
        <v>8759459</v>
      </c>
      <c r="O72" s="47">
        <f>SUM(B72:N72)</f>
        <v>279578289</v>
      </c>
      <c r="P72" s="50"/>
    </row>
    <row r="73" spans="1:16" ht="12.75">
      <c r="A73" s="47" t="s">
        <v>97</v>
      </c>
      <c r="B73" s="47">
        <v>19624666</v>
      </c>
      <c r="C73" s="47">
        <v>3496890</v>
      </c>
      <c r="D73" s="47">
        <v>117393</v>
      </c>
      <c r="E73" s="47">
        <v>12936390</v>
      </c>
      <c r="F73" s="47"/>
      <c r="G73" s="47">
        <v>178825</v>
      </c>
      <c r="H73" s="47">
        <v>5140035</v>
      </c>
      <c r="I73" s="47">
        <v>1275492</v>
      </c>
      <c r="J73" s="47">
        <v>684675</v>
      </c>
      <c r="K73" s="47">
        <v>662070</v>
      </c>
      <c r="L73" s="47">
        <v>4681946</v>
      </c>
      <c r="M73" s="47">
        <v>20417466</v>
      </c>
      <c r="N73" s="47"/>
      <c r="O73" s="47">
        <f>SUM(B73:N73)</f>
        <v>69215848</v>
      </c>
      <c r="P73" s="50" t="s">
        <v>33</v>
      </c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50"/>
    </row>
    <row r="75" spans="1:16" ht="13.5" thickBot="1">
      <c r="A75" s="46" t="s">
        <v>7</v>
      </c>
      <c r="B75" s="61">
        <f aca="true" t="shared" si="8" ref="B75:O75">SUM(B72:B74)</f>
        <v>39427188</v>
      </c>
      <c r="C75" s="61">
        <f t="shared" si="8"/>
        <v>100401371</v>
      </c>
      <c r="D75" s="61">
        <f t="shared" si="8"/>
        <v>29230310</v>
      </c>
      <c r="E75" s="61">
        <f t="shared" si="8"/>
        <v>19667365</v>
      </c>
      <c r="F75" s="61">
        <f t="shared" si="8"/>
        <v>12382872</v>
      </c>
      <c r="G75" s="61">
        <f t="shared" si="8"/>
        <v>27909750</v>
      </c>
      <c r="H75" s="61">
        <f t="shared" si="8"/>
        <v>15603592</v>
      </c>
      <c r="I75" s="61">
        <f>SUM(I72:I74)</f>
        <v>18541816</v>
      </c>
      <c r="J75" s="61">
        <f>SUM(J72:J74)</f>
        <v>2126255</v>
      </c>
      <c r="K75" s="61">
        <f t="shared" si="8"/>
        <v>3426256</v>
      </c>
      <c r="L75" s="61">
        <f t="shared" si="8"/>
        <v>31463864</v>
      </c>
      <c r="M75" s="61">
        <f t="shared" si="8"/>
        <v>39854039</v>
      </c>
      <c r="N75" s="61">
        <f t="shared" si="8"/>
        <v>8759459</v>
      </c>
      <c r="O75" s="61">
        <f t="shared" si="8"/>
        <v>348794137</v>
      </c>
      <c r="P75" s="50"/>
    </row>
    <row r="76" spans="1:16" ht="13.5" thickTop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0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0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0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0"/>
      <c r="P79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keywords/>
  <dc:description/>
  <cp:lastModifiedBy>Tetik, Carmen</cp:lastModifiedBy>
  <cp:lastPrinted>2019-03-28T18:40:25Z</cp:lastPrinted>
  <dcterms:created xsi:type="dcterms:W3CDTF">1997-10-10T20:56:20Z</dcterms:created>
  <dcterms:modified xsi:type="dcterms:W3CDTF">2019-07-19T20:35:34Z</dcterms:modified>
  <cp:category/>
  <cp:version/>
  <cp:contentType/>
  <cp:contentStatus/>
</cp:coreProperties>
</file>