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8700"/>
  </bookViews>
  <sheets>
    <sheet name="All Agency" sheetId="4" r:id="rId1"/>
    <sheet name="Gen Univ Sum" sheetId="5" r:id="rId2"/>
    <sheet name="Ag Exp " sheetId="6" r:id="rId3"/>
    <sheet name="Coop Ext" sheetId="7" r:id="rId4"/>
    <sheet name="Okm " sheetId="8" r:id="rId5"/>
    <sheet name="Vet Med " sheetId="9" r:id="rId6"/>
    <sheet name="OKC " sheetId="10" r:id="rId7"/>
    <sheet name="CHS" sheetId="11" r:id="rId8"/>
    <sheet name="Tulsa " sheetId="12" r:id="rId9"/>
  </sheets>
  <definedNames>
    <definedName name="_xlnm.Print_Area" localSheetId="0">'All Agency'!$A$1:$L$48</definedName>
  </definedNames>
  <calcPr calcId="125725"/>
</workbook>
</file>

<file path=xl/calcChain.xml><?xml version="1.0" encoding="utf-8"?>
<calcChain xmlns="http://schemas.openxmlformats.org/spreadsheetml/2006/main">
  <c r="E46" i="5"/>
  <c r="E14"/>
  <c r="E10"/>
  <c r="E9"/>
  <c r="E39" i="10"/>
  <c r="G16" i="4"/>
  <c r="G17"/>
  <c r="E9" i="8"/>
  <c r="G39" i="4"/>
  <c r="G40"/>
  <c r="G41"/>
  <c r="G42"/>
  <c r="G38"/>
  <c r="G37"/>
  <c r="G34"/>
  <c r="J35"/>
  <c r="J36"/>
  <c r="J37"/>
  <c r="J38"/>
  <c r="J39"/>
  <c r="J40"/>
  <c r="J41"/>
  <c r="J42"/>
  <c r="J34"/>
  <c r="J43"/>
  <c r="K35"/>
  <c r="K36"/>
  <c r="K37"/>
  <c r="K38"/>
  <c r="K39"/>
  <c r="K40"/>
  <c r="K41"/>
  <c r="K42"/>
  <c r="K34"/>
  <c r="K24"/>
  <c r="K21"/>
  <c r="K20"/>
  <c r="K15"/>
  <c r="K12"/>
  <c r="E40" i="12"/>
  <c r="C12"/>
  <c r="E12"/>
  <c r="J24" i="4"/>
  <c r="J16"/>
  <c r="J21"/>
  <c r="J20"/>
  <c r="J17"/>
  <c r="J15"/>
  <c r="J12"/>
  <c r="E43" i="11"/>
  <c r="E12"/>
  <c r="E9"/>
  <c r="I43" i="10"/>
  <c r="I42"/>
  <c r="I41"/>
  <c r="I40"/>
  <c r="I38"/>
  <c r="I37"/>
  <c r="I17"/>
  <c r="I46" i="8"/>
  <c r="I44"/>
  <c r="I43"/>
  <c r="I42"/>
  <c r="I41"/>
  <c r="I40"/>
  <c r="I39"/>
  <c r="I38"/>
  <c r="I16"/>
  <c r="I11"/>
  <c r="I9"/>
  <c r="I8"/>
  <c r="I14" i="5"/>
  <c r="I13"/>
  <c r="I12"/>
  <c r="I11"/>
  <c r="I10"/>
  <c r="I9"/>
  <c r="I8"/>
  <c r="I7"/>
  <c r="I50"/>
  <c r="I49"/>
  <c r="I48"/>
  <c r="I47"/>
  <c r="I46"/>
  <c r="I45"/>
  <c r="I44"/>
  <c r="I43"/>
  <c r="I37" i="7"/>
  <c r="I17"/>
  <c r="I15"/>
  <c r="I11"/>
  <c r="I9"/>
  <c r="I7"/>
  <c r="I39"/>
  <c r="I19"/>
  <c r="I24" i="6"/>
  <c r="C15" i="11"/>
  <c r="E15"/>
  <c r="G24" i="4"/>
  <c r="G21"/>
  <c r="G20"/>
  <c r="G15"/>
  <c r="G12"/>
  <c r="E40" i="8"/>
  <c r="G12"/>
  <c r="E14"/>
  <c r="C14"/>
  <c r="D36" i="4"/>
  <c r="D37"/>
  <c r="D38"/>
  <c r="D39"/>
  <c r="D40"/>
  <c r="D41"/>
  <c r="D42"/>
  <c r="D35"/>
  <c r="D34"/>
  <c r="D21"/>
  <c r="D20"/>
  <c r="D19"/>
  <c r="D18"/>
  <c r="D17"/>
  <c r="D16"/>
  <c r="D15"/>
  <c r="D13"/>
  <c r="D12"/>
  <c r="E17" i="5"/>
  <c r="I17"/>
  <c r="C17"/>
  <c r="J22" i="4"/>
  <c r="H42"/>
  <c r="H41"/>
  <c r="H40"/>
  <c r="H39"/>
  <c r="H38"/>
  <c r="H36"/>
  <c r="H35"/>
  <c r="H34"/>
  <c r="H43" s="1"/>
  <c r="H48" s="1"/>
  <c r="H21"/>
  <c r="H20"/>
  <c r="H19"/>
  <c r="H17"/>
  <c r="H16"/>
  <c r="H15"/>
  <c r="H12"/>
  <c r="H22" s="1"/>
  <c r="H25" s="1"/>
  <c r="H30" s="1"/>
  <c r="H51" s="1"/>
  <c r="E12" i="9"/>
  <c r="E10"/>
  <c r="C16"/>
  <c r="I42" i="4"/>
  <c r="I41"/>
  <c r="I40"/>
  <c r="I39"/>
  <c r="I37"/>
  <c r="I34"/>
  <c r="I38"/>
  <c r="L38"/>
  <c r="I24"/>
  <c r="I21"/>
  <c r="I20"/>
  <c r="I15"/>
  <c r="I13"/>
  <c r="I16" s="1"/>
  <c r="I12"/>
  <c r="E9" i="10"/>
  <c r="G11"/>
  <c r="E13"/>
  <c r="C13"/>
  <c r="F24" i="4"/>
  <c r="F21"/>
  <c r="F20"/>
  <c r="F14"/>
  <c r="F12"/>
  <c r="E15" i="7"/>
  <c r="G13"/>
  <c r="G38" i="8"/>
  <c r="G39"/>
  <c r="C40"/>
  <c r="G40"/>
  <c r="G41"/>
  <c r="G42"/>
  <c r="G43"/>
  <c r="G44"/>
  <c r="C46"/>
  <c r="E46"/>
  <c r="G46"/>
  <c r="G40" i="9"/>
  <c r="I40"/>
  <c r="G41"/>
  <c r="I41"/>
  <c r="G42"/>
  <c r="I42"/>
  <c r="G43"/>
  <c r="I43"/>
  <c r="G44"/>
  <c r="I44"/>
  <c r="G45"/>
  <c r="I45"/>
  <c r="G46"/>
  <c r="I46"/>
  <c r="G47"/>
  <c r="I47"/>
  <c r="C49"/>
  <c r="E49"/>
  <c r="G49"/>
  <c r="G37" i="10"/>
  <c r="C38"/>
  <c r="G38"/>
  <c r="C39"/>
  <c r="G40"/>
  <c r="G41"/>
  <c r="G42"/>
  <c r="G43"/>
  <c r="C45"/>
  <c r="E45"/>
  <c r="I45"/>
  <c r="G45"/>
  <c r="E21" i="4"/>
  <c r="E20"/>
  <c r="E16"/>
  <c r="E12"/>
  <c r="E24"/>
  <c r="L21"/>
  <c r="F22"/>
  <c r="D22"/>
  <c r="C40" i="12"/>
  <c r="C8"/>
  <c r="C43" i="11"/>
  <c r="C12"/>
  <c r="C9"/>
  <c r="C8"/>
  <c r="C9" i="10"/>
  <c r="C8"/>
  <c r="C13" i="9"/>
  <c r="C10"/>
  <c r="C9"/>
  <c r="C9" i="8"/>
  <c r="C8"/>
  <c r="C46" i="5"/>
  <c r="I9" i="12"/>
  <c r="I8"/>
  <c r="I37"/>
  <c r="I38"/>
  <c r="I39"/>
  <c r="I41"/>
  <c r="I42"/>
  <c r="I43"/>
  <c r="I44"/>
  <c r="I40" i="11"/>
  <c r="I41"/>
  <c r="I42"/>
  <c r="I44"/>
  <c r="I45"/>
  <c r="I46"/>
  <c r="I47"/>
  <c r="I43"/>
  <c r="I10"/>
  <c r="I11"/>
  <c r="I10" i="10"/>
  <c r="I11" i="9"/>
  <c r="I12"/>
  <c r="C52" i="5"/>
  <c r="C29"/>
  <c r="C38"/>
  <c r="C38" i="6"/>
  <c r="C14"/>
  <c r="I14"/>
  <c r="C39" i="7"/>
  <c r="C22"/>
  <c r="C23"/>
  <c r="C24"/>
  <c r="C25"/>
  <c r="C26"/>
  <c r="C27"/>
  <c r="C28"/>
  <c r="C29"/>
  <c r="C30"/>
  <c r="C31"/>
  <c r="C32"/>
  <c r="C33"/>
  <c r="C15"/>
  <c r="C19"/>
  <c r="I40" i="12"/>
  <c r="C46"/>
  <c r="C32"/>
  <c r="C16"/>
  <c r="I12" i="11"/>
  <c r="I8"/>
  <c r="I9"/>
  <c r="C49"/>
  <c r="C35"/>
  <c r="I8" i="10"/>
  <c r="I9"/>
  <c r="C33"/>
  <c r="C17"/>
  <c r="E16" i="9"/>
  <c r="I13"/>
  <c r="I10"/>
  <c r="I9"/>
  <c r="C36"/>
  <c r="C20"/>
  <c r="C34" i="8"/>
  <c r="C18"/>
  <c r="L13" i="4"/>
  <c r="L15"/>
  <c r="I45"/>
  <c r="I46"/>
  <c r="I15" i="10"/>
  <c r="I13"/>
  <c r="I7"/>
  <c r="I42" i="5"/>
  <c r="I14" i="12"/>
  <c r="I12"/>
  <c r="I7"/>
  <c r="I36"/>
  <c r="I39" i="11"/>
  <c r="I17"/>
  <c r="I7"/>
  <c r="I7" i="8"/>
  <c r="E45" i="4"/>
  <c r="E46"/>
  <c r="E47"/>
  <c r="E14" i="6"/>
  <c r="I22"/>
  <c r="I17"/>
  <c r="I16"/>
  <c r="I13"/>
  <c r="I12"/>
  <c r="I11"/>
  <c r="I10"/>
  <c r="I7"/>
  <c r="I18" i="9"/>
  <c r="I8"/>
  <c r="E32" i="12"/>
  <c r="E16"/>
  <c r="I16"/>
  <c r="G37"/>
  <c r="G38"/>
  <c r="G39"/>
  <c r="G41"/>
  <c r="G42"/>
  <c r="G43"/>
  <c r="G44"/>
  <c r="G8"/>
  <c r="G9"/>
  <c r="G40" i="11"/>
  <c r="G41"/>
  <c r="G42"/>
  <c r="G43"/>
  <c r="G44"/>
  <c r="G45"/>
  <c r="G46"/>
  <c r="G47"/>
  <c r="G8"/>
  <c r="G9"/>
  <c r="G10"/>
  <c r="G11"/>
  <c r="G12"/>
  <c r="G8" i="10"/>
  <c r="G9"/>
  <c r="G10"/>
  <c r="G9" i="9"/>
  <c r="G10"/>
  <c r="G11"/>
  <c r="G12"/>
  <c r="G13"/>
  <c r="G8" i="8"/>
  <c r="G9"/>
  <c r="G11"/>
  <c r="G17" i="7"/>
  <c r="G11" i="6"/>
  <c r="G12"/>
  <c r="G13"/>
  <c r="G43" i="5"/>
  <c r="G44"/>
  <c r="G45"/>
  <c r="G46"/>
  <c r="G47"/>
  <c r="G48"/>
  <c r="G49"/>
  <c r="G50"/>
  <c r="G52"/>
  <c r="G9"/>
  <c r="G10"/>
  <c r="G11"/>
  <c r="G12"/>
  <c r="G13"/>
  <c r="G14"/>
  <c r="G36" i="12"/>
  <c r="G14"/>
  <c r="G17" i="11"/>
  <c r="G15" i="10"/>
  <c r="G8" i="9"/>
  <c r="L12" i="4"/>
  <c r="L17"/>
  <c r="L18"/>
  <c r="L19"/>
  <c r="L24"/>
  <c r="D25"/>
  <c r="D30"/>
  <c r="F25"/>
  <c r="L27"/>
  <c r="L28"/>
  <c r="L29"/>
  <c r="F30"/>
  <c r="L34"/>
  <c r="E38" i="6"/>
  <c r="E39" i="7"/>
  <c r="L37" i="4"/>
  <c r="L39"/>
  <c r="L40"/>
  <c r="L41"/>
  <c r="L42"/>
  <c r="D43"/>
  <c r="G43"/>
  <c r="K43"/>
  <c r="D45"/>
  <c r="F45"/>
  <c r="G45"/>
  <c r="G48"/>
  <c r="H45"/>
  <c r="J45"/>
  <c r="J48"/>
  <c r="K45"/>
  <c r="K48"/>
  <c r="D46"/>
  <c r="D48"/>
  <c r="D51" s="1"/>
  <c r="F46"/>
  <c r="G46"/>
  <c r="H46"/>
  <c r="J46"/>
  <c r="K46"/>
  <c r="D47"/>
  <c r="F47"/>
  <c r="G47"/>
  <c r="H47"/>
  <c r="I47"/>
  <c r="J47"/>
  <c r="K47"/>
  <c r="L47"/>
  <c r="G7" i="5"/>
  <c r="E21"/>
  <c r="I21"/>
  <c r="G17"/>
  <c r="G19"/>
  <c r="G24"/>
  <c r="I24"/>
  <c r="G25"/>
  <c r="I25"/>
  <c r="G26"/>
  <c r="I26"/>
  <c r="G27"/>
  <c r="I27"/>
  <c r="G28"/>
  <c r="I28"/>
  <c r="E29"/>
  <c r="G29"/>
  <c r="G30"/>
  <c r="I30"/>
  <c r="G31"/>
  <c r="I31"/>
  <c r="G32"/>
  <c r="I32"/>
  <c r="G33"/>
  <c r="I33"/>
  <c r="G34"/>
  <c r="I34"/>
  <c r="G35"/>
  <c r="I35"/>
  <c r="G36"/>
  <c r="I36"/>
  <c r="G37"/>
  <c r="I37"/>
  <c r="E38"/>
  <c r="G42"/>
  <c r="E52"/>
  <c r="I52"/>
  <c r="G7" i="6"/>
  <c r="G10"/>
  <c r="G14"/>
  <c r="G20"/>
  <c r="G24"/>
  <c r="G16"/>
  <c r="G17"/>
  <c r="G22"/>
  <c r="G28"/>
  <c r="I28"/>
  <c r="G29"/>
  <c r="I29"/>
  <c r="G30"/>
  <c r="I30"/>
  <c r="G31"/>
  <c r="I31"/>
  <c r="G32"/>
  <c r="I32"/>
  <c r="G33"/>
  <c r="I33"/>
  <c r="G34"/>
  <c r="I34"/>
  <c r="G35"/>
  <c r="I35"/>
  <c r="G36"/>
  <c r="I36"/>
  <c r="G37"/>
  <c r="I37"/>
  <c r="G38"/>
  <c r="I38"/>
  <c r="G7" i="7"/>
  <c r="G9"/>
  <c r="G11"/>
  <c r="E19"/>
  <c r="E22"/>
  <c r="G22"/>
  <c r="I22"/>
  <c r="E23"/>
  <c r="G23"/>
  <c r="E24"/>
  <c r="G24"/>
  <c r="I24"/>
  <c r="E25"/>
  <c r="G25"/>
  <c r="I25"/>
  <c r="E26"/>
  <c r="G26"/>
  <c r="I26"/>
  <c r="E27"/>
  <c r="G27"/>
  <c r="I27"/>
  <c r="E28"/>
  <c r="G28"/>
  <c r="I28"/>
  <c r="E29"/>
  <c r="G29"/>
  <c r="I29"/>
  <c r="E30"/>
  <c r="G30"/>
  <c r="E31"/>
  <c r="G31"/>
  <c r="I31"/>
  <c r="E32"/>
  <c r="G32"/>
  <c r="I32"/>
  <c r="G37"/>
  <c r="G39"/>
  <c r="G7" i="8"/>
  <c r="G14"/>
  <c r="G16"/>
  <c r="E18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E34"/>
  <c r="G34"/>
  <c r="I34"/>
  <c r="G18" i="9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G34"/>
  <c r="I34"/>
  <c r="G35"/>
  <c r="I35"/>
  <c r="E36"/>
  <c r="G36"/>
  <c r="I36"/>
  <c r="G7" i="10"/>
  <c r="G13"/>
  <c r="E17"/>
  <c r="G17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E33"/>
  <c r="G33"/>
  <c r="I33"/>
  <c r="G7" i="11"/>
  <c r="E19"/>
  <c r="I19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G34"/>
  <c r="I34"/>
  <c r="E35"/>
  <c r="G35"/>
  <c r="I35"/>
  <c r="G39"/>
  <c r="E49"/>
  <c r="I49"/>
  <c r="G7" i="12"/>
  <c r="G12"/>
  <c r="G19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I23" i="7"/>
  <c r="G33"/>
  <c r="I33"/>
  <c r="I29" i="5"/>
  <c r="G38"/>
  <c r="I38"/>
  <c r="C19" i="11"/>
  <c r="I15"/>
  <c r="G15"/>
  <c r="E33" i="7"/>
  <c r="C21" i="5"/>
  <c r="L46" i="4"/>
  <c r="L36"/>
  <c r="F43"/>
  <c r="F48"/>
  <c r="F51"/>
  <c r="J25"/>
  <c r="J30"/>
  <c r="J51" s="1"/>
  <c r="L20"/>
  <c r="G15" i="7"/>
  <c r="G21" i="5"/>
  <c r="E20" i="6"/>
  <c r="E14" i="4"/>
  <c r="L14" s="1"/>
  <c r="C20" i="6"/>
  <c r="C24"/>
  <c r="I20"/>
  <c r="E24"/>
  <c r="E22" i="4"/>
  <c r="E25" s="1"/>
  <c r="G19" i="7"/>
  <c r="K22" i="4"/>
  <c r="K25" s="1"/>
  <c r="K30" s="1"/>
  <c r="K51" s="1"/>
  <c r="G40" i="12"/>
  <c r="E46"/>
  <c r="G16"/>
  <c r="G49" i="11"/>
  <c r="G19"/>
  <c r="G18" i="8"/>
  <c r="I49" i="9"/>
  <c r="I16"/>
  <c r="E20"/>
  <c r="G16"/>
  <c r="I46" i="12"/>
  <c r="G46"/>
  <c r="G20" i="9"/>
  <c r="I20"/>
  <c r="I43" i="4"/>
  <c r="I48" s="1"/>
  <c r="I39" i="10"/>
  <c r="G39"/>
  <c r="G22" i="4"/>
  <c r="G25" s="1"/>
  <c r="G30" s="1"/>
  <c r="G51" s="1"/>
  <c r="I18" i="8"/>
  <c r="I14"/>
  <c r="L45" i="4"/>
  <c r="E30" l="1"/>
  <c r="E35"/>
  <c r="I22"/>
  <c r="I25" s="1"/>
  <c r="I30" s="1"/>
  <c r="I51" s="1"/>
  <c r="L16"/>
  <c r="L22"/>
  <c r="L25" s="1"/>
  <c r="L30" s="1"/>
  <c r="E43" l="1"/>
  <c r="E48" s="1"/>
  <c r="E51" s="1"/>
  <c r="L35"/>
  <c r="L43" s="1"/>
  <c r="L48" s="1"/>
  <c r="L51" s="1"/>
</calcChain>
</file>

<file path=xl/sharedStrings.xml><?xml version="1.0" encoding="utf-8"?>
<sst xmlns="http://schemas.openxmlformats.org/spreadsheetml/2006/main" count="406" uniqueCount="138">
  <si>
    <t>OKLAHOMA STATE UNIVERSITY SYSTEM</t>
  </si>
  <si>
    <t>AGRICULTURAL</t>
  </si>
  <si>
    <t xml:space="preserve">OKLAHOMA </t>
  </si>
  <si>
    <t>CENTER FOR</t>
  </si>
  <si>
    <t xml:space="preserve">OSU </t>
  </si>
  <si>
    <t>GENERAL</t>
  </si>
  <si>
    <t>COOPERATIVE</t>
  </si>
  <si>
    <t>OSU</t>
  </si>
  <si>
    <t>VETERINARY</t>
  </si>
  <si>
    <t>OKLAHOMA</t>
  </si>
  <si>
    <t>HEALTH</t>
  </si>
  <si>
    <t>GRAND</t>
  </si>
  <si>
    <t>UNIVERSITY</t>
  </si>
  <si>
    <t>EXT. SERVICE</t>
  </si>
  <si>
    <t>HLTH SCIENCES</t>
  </si>
  <si>
    <t>CITY</t>
  </si>
  <si>
    <t>SCIENCES</t>
  </si>
  <si>
    <t>TULSA</t>
  </si>
  <si>
    <t>TOTAL</t>
  </si>
  <si>
    <t>BUDGETED REVENUE</t>
  </si>
  <si>
    <t>EDUCATIONAL &amp; GENERAL:</t>
  </si>
  <si>
    <t>STATE APPROPRIATIONS</t>
  </si>
  <si>
    <t>FEDERAL APPROPRIATIONS</t>
  </si>
  <si>
    <t>TUITION &amp; FEES</t>
  </si>
  <si>
    <t>GIFTS, GRANTS, REIMBRSMT</t>
  </si>
  <si>
    <t>SALES-EDUC DEPARTMENTS</t>
  </si>
  <si>
    <t>ORGANIZED ACTIVITIES</t>
  </si>
  <si>
    <t>NON-CREDIT PUB SERV PROGRAMS</t>
  </si>
  <si>
    <t>OTHER INCOME</t>
  </si>
  <si>
    <t>TOTAL BUDGETED REVENUE</t>
  </si>
  <si>
    <t>PRIOR YEAR BALANCES</t>
  </si>
  <si>
    <t>TOTAL EDUCATION &amp; GENERAL</t>
  </si>
  <si>
    <t>SPONSORED PROGRAMS</t>
  </si>
  <si>
    <t>AUX ENT-STUDENT ACTIVITY</t>
  </si>
  <si>
    <t>STUDENT AID</t>
  </si>
  <si>
    <t>TOTAL FUNDS AVAILABLE</t>
  </si>
  <si>
    <t>BUDGETED EXPENDITURES</t>
  </si>
  <si>
    <t>INSTRUCTION</t>
  </si>
  <si>
    <t>RESEARCH</t>
  </si>
  <si>
    <t>PUBLIC SERVICE</t>
  </si>
  <si>
    <t>LIBRARIES</t>
  </si>
  <si>
    <t>ACADEMIC SUPPORT</t>
  </si>
  <si>
    <t>STUDENT SERVICES</t>
  </si>
  <si>
    <t>INSTITUTIONAL SUPPORT</t>
  </si>
  <si>
    <t>PHYSICAL PLANT</t>
  </si>
  <si>
    <t>SCHOLARSHIPS &amp; FELLOWSHIPS</t>
  </si>
  <si>
    <t>TOTAL BUDGETED EXPENDITURES</t>
  </si>
  <si>
    <t>DOLLAR</t>
  </si>
  <si>
    <t>BUDGET</t>
  </si>
  <si>
    <t>INCREASE</t>
  </si>
  <si>
    <t>(DECREASE)</t>
  </si>
  <si>
    <t>BUDGETED REVENUE:</t>
  </si>
  <si>
    <t xml:space="preserve">  STATE APPROPRIATIONS</t>
  </si>
  <si>
    <t xml:space="preserve">  STUDENT FEES</t>
  </si>
  <si>
    <t xml:space="preserve">  GIFTS ,GRANTS, REIMBURSEMENTS</t>
  </si>
  <si>
    <t xml:space="preserve">  SALES - EDUCATIONAL DEPARTMENTS</t>
  </si>
  <si>
    <t xml:space="preserve">  ORGANIZED ACTIVITIES</t>
  </si>
  <si>
    <t xml:space="preserve">  NON-CREDIT PUB SERV PROGRAMS </t>
  </si>
  <si>
    <t xml:space="preserve">  OTHER REVENUE</t>
  </si>
  <si>
    <t>BUDGETED EXPENSE: (BY OBJECT)</t>
  </si>
  <si>
    <t xml:space="preserve">  TEACHING SALARIES</t>
  </si>
  <si>
    <t xml:space="preserve">  PROFESSIONAL SALARIES</t>
  </si>
  <si>
    <t xml:space="preserve">  OTHER SALARIES &amp; WAGES</t>
  </si>
  <si>
    <t xml:space="preserve">  STAFF BENEFITS</t>
  </si>
  <si>
    <t xml:space="preserve">  PROFESSIONAL SERVICES</t>
  </si>
  <si>
    <t xml:space="preserve">  SUPPLIES &amp; MATERIALS</t>
  </si>
  <si>
    <t xml:space="preserve">  EQUIPMENT</t>
  </si>
  <si>
    <t xml:space="preserve">  BOOKS &amp; PERIODICALS</t>
  </si>
  <si>
    <t xml:space="preserve">  TRAVEL</t>
  </si>
  <si>
    <t xml:space="preserve">  COMMUNICATIONS EXPENSE</t>
  </si>
  <si>
    <t xml:space="preserve">  UTILITIES EXPENSE</t>
  </si>
  <si>
    <t xml:space="preserve">  SCHOLARSHIPS &amp; FELLOWSHIPS</t>
  </si>
  <si>
    <t xml:space="preserve">  CONTRACTUAL SERVICES</t>
  </si>
  <si>
    <t xml:space="preserve">  OTHER CURRENT EXPENSE</t>
  </si>
  <si>
    <t>TOTAL BUDGETED EXPENSE</t>
  </si>
  <si>
    <t xml:space="preserve">  INSTRUCTION</t>
  </si>
  <si>
    <t xml:space="preserve">  RESEARCH</t>
  </si>
  <si>
    <t xml:space="preserve">  PUBLIC SERVICE</t>
  </si>
  <si>
    <t xml:space="preserve">  LIBRARIES</t>
  </si>
  <si>
    <t xml:space="preserve">  OTHER ACADEMIC SUPPORT</t>
  </si>
  <si>
    <t xml:space="preserve">  STUDENT SERVICES</t>
  </si>
  <si>
    <t xml:space="preserve">  INSTITUTIONAL SUPPORT</t>
  </si>
  <si>
    <t xml:space="preserve">  PHYSICAL PLANT</t>
  </si>
  <si>
    <t xml:space="preserve">    STATE APPROPRIATIONS</t>
  </si>
  <si>
    <t xml:space="preserve">    FEDERAL APPROPRIATIONS:</t>
  </si>
  <si>
    <t xml:space="preserve">      HATCH</t>
  </si>
  <si>
    <t xml:space="preserve">      MULTI-STATE</t>
  </si>
  <si>
    <t xml:space="preserve">      MCINTIRE - STENNIS</t>
  </si>
  <si>
    <t xml:space="preserve">      ANIMAL HEALTH</t>
  </si>
  <si>
    <t xml:space="preserve">    ENDOWMENTS, GIFTS, &amp; BEQUESTS</t>
  </si>
  <si>
    <t xml:space="preserve">    STATION SALES &amp; SERVICES</t>
  </si>
  <si>
    <t xml:space="preserve">    PROFESSIONAL SALARIES</t>
  </si>
  <si>
    <t xml:space="preserve">    OTHER SALARIES &amp; WAGES</t>
  </si>
  <si>
    <t xml:space="preserve">    STAFF BENEFITS</t>
  </si>
  <si>
    <t xml:space="preserve">    SUPPLIES &amp; MATERIALS</t>
  </si>
  <si>
    <t xml:space="preserve">    EQUIPMENT</t>
  </si>
  <si>
    <t xml:space="preserve">    TRAVEL</t>
  </si>
  <si>
    <t xml:space="preserve">    COMMUNICATIONS EXPENSE</t>
  </si>
  <si>
    <t xml:space="preserve">    UTILITIES EXPENSE</t>
  </si>
  <si>
    <t xml:space="preserve">    CONTRACTUAL SERVICES</t>
  </si>
  <si>
    <t xml:space="preserve">    OTHER CURRENT EXPENSE</t>
  </si>
  <si>
    <t xml:space="preserve">    FEDERAL APPROPRIATIONS</t>
  </si>
  <si>
    <t xml:space="preserve">    EXTENSION SALES &amp; SERVICES</t>
  </si>
  <si>
    <t xml:space="preserve">    BOOKS &amp; PERIODICALS</t>
  </si>
  <si>
    <t xml:space="preserve">    PUBLIC SERVICES</t>
  </si>
  <si>
    <t xml:space="preserve">    STUDENT FEES</t>
  </si>
  <si>
    <t xml:space="preserve">    GIFTS, GRANTS, REIMBURSEMENTS</t>
  </si>
  <si>
    <t xml:space="preserve">    NON-CREDIT PUB SERV PROGRAMS</t>
  </si>
  <si>
    <t xml:space="preserve">    OTHER REVENUE</t>
  </si>
  <si>
    <t xml:space="preserve">    TEACHING SALARIES</t>
  </si>
  <si>
    <t xml:space="preserve">    SCHOLARSHIPS &amp; FELLOWSHIPS</t>
  </si>
  <si>
    <t xml:space="preserve">    INSTRUCTION</t>
  </si>
  <si>
    <t xml:space="preserve">    LIBRARIES</t>
  </si>
  <si>
    <t xml:space="preserve">    OTHER ACADEMIC SUPPORT</t>
  </si>
  <si>
    <t xml:space="preserve">    STUDENT SERVICES</t>
  </si>
  <si>
    <t xml:space="preserve">    INSTITUTIONAL SUPPORT</t>
  </si>
  <si>
    <t xml:space="preserve">    PHYSICAL PLANT</t>
  </si>
  <si>
    <t xml:space="preserve">    GIFTS ,GRANTS, REIMBURSEMENTS</t>
  </si>
  <si>
    <t xml:space="preserve">    SALES - EDUCATIONAL DEPARTMENTS</t>
  </si>
  <si>
    <t xml:space="preserve">    RESEARCH</t>
  </si>
  <si>
    <t xml:space="preserve">    PUBLIC SERVICE</t>
  </si>
  <si>
    <t xml:space="preserve">    OTHER INCOME</t>
  </si>
  <si>
    <t xml:space="preserve">    SCHOLARSHIPS &amp; FELLOWSHIPS   </t>
  </si>
  <si>
    <t>EXPENDITURES BY FUNCTION:</t>
  </si>
  <si>
    <t>PERCENTAGE</t>
  </si>
  <si>
    <t xml:space="preserve">    TOTAL FEDERAL APPROPRIATIONS</t>
  </si>
  <si>
    <t>SUMMARY OF REVENUE &amp; EXPENDITURES</t>
  </si>
  <si>
    <t>STATE APPROP-GRANTS,CONTRACTS &amp; REIMB</t>
  </si>
  <si>
    <t>INSTITUTE OF</t>
  </si>
  <si>
    <t>TECHNOLOGY</t>
  </si>
  <si>
    <t>FY 2009</t>
  </si>
  <si>
    <t xml:space="preserve">  STATE APPROP-GRANTS,CONTRACTS &amp; REIMB</t>
  </si>
  <si>
    <t>FISCAL YEAR ENDING JUNE 30, 2010</t>
  </si>
  <si>
    <t>EXPER. STATION</t>
  </si>
  <si>
    <t>FY 2010</t>
  </si>
  <si>
    <t>FEDERAL STIMULUS FUNDS - ARRA</t>
  </si>
  <si>
    <t xml:space="preserve">    FEDERAL STIMULUS FUNDS - ARRA</t>
  </si>
  <si>
    <t xml:space="preserve">  FEDERAL STIMULUS FUNDS - ARRA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</si>
</sst>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;\(0.0%\)"/>
    <numFmt numFmtId="166" formatCode="0.00%;\(0.00%\)"/>
    <numFmt numFmtId="167" formatCode="_(&quot;$&quot;* #,##0_);_(&quot;$&quot;* \(#,##0\);_(&quot;$&quot;* &quot;-&quot;??_);_(@_)"/>
  </numFmts>
  <fonts count="10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sz val="10.5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5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4" fontId="1" fillId="0" borderId="0" xfId="1" applyNumberFormat="1"/>
    <xf numFmtId="164" fontId="4" fillId="0" borderId="0" xfId="1" applyNumberFormat="1" applyFont="1" applyAlignment="1">
      <alignment horizontal="center"/>
    </xf>
    <xf numFmtId="0" fontId="5" fillId="0" borderId="0" xfId="5" applyFont="1"/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0" fontId="2" fillId="0" borderId="0" xfId="5"/>
    <xf numFmtId="0" fontId="5" fillId="0" borderId="0" xfId="0" applyFont="1"/>
    <xf numFmtId="0" fontId="6" fillId="0" borderId="0" xfId="0" applyFont="1"/>
    <xf numFmtId="0" fontId="6" fillId="0" borderId="0" xfId="5" applyFont="1"/>
    <xf numFmtId="0" fontId="5" fillId="0" borderId="0" xfId="0" applyFont="1" applyBorder="1"/>
    <xf numFmtId="0" fontId="0" fillId="0" borderId="0" xfId="0" applyFill="1"/>
    <xf numFmtId="0" fontId="5" fillId="0" borderId="0" xfId="0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/>
    <xf numFmtId="0" fontId="5" fillId="0" borderId="0" xfId="5" applyFont="1" applyFill="1" applyBorder="1"/>
    <xf numFmtId="0" fontId="5" fillId="0" borderId="0" xfId="5" applyFont="1" applyBorder="1"/>
    <xf numFmtId="164" fontId="5" fillId="0" borderId="1" xfId="1" applyNumberFormat="1" applyFont="1" applyFill="1" applyBorder="1"/>
    <xf numFmtId="0" fontId="7" fillId="0" borderId="0" xfId="0" applyFont="1"/>
    <xf numFmtId="0" fontId="7" fillId="0" borderId="0" xfId="5" applyFont="1" applyBorder="1"/>
    <xf numFmtId="0" fontId="2" fillId="0" borderId="0" xfId="5" applyFont="1"/>
    <xf numFmtId="0" fontId="5" fillId="0" borderId="0" xfId="0" applyFont="1" applyFill="1"/>
    <xf numFmtId="0" fontId="7" fillId="0" borderId="0" xfId="0" applyFont="1" applyBorder="1"/>
    <xf numFmtId="0" fontId="7" fillId="0" borderId="0" xfId="5" applyFont="1"/>
    <xf numFmtId="0" fontId="5" fillId="0" borderId="0" xfId="0" applyFont="1" applyBorder="1" applyAlignment="1"/>
    <xf numFmtId="0" fontId="4" fillId="0" borderId="0" xfId="6" applyFont="1" applyAlignment="1">
      <alignment horizontal="centerContinuous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2" fillId="0" borderId="0" xfId="3"/>
    <xf numFmtId="37" fontId="2" fillId="0" borderId="0" xfId="3" applyNumberFormat="1"/>
    <xf numFmtId="166" fontId="2" fillId="0" borderId="0" xfId="3" applyNumberFormat="1"/>
    <xf numFmtId="166" fontId="2" fillId="0" borderId="0" xfId="11" applyNumberFormat="1" applyFont="1"/>
    <xf numFmtId="0" fontId="2" fillId="0" borderId="0" xfId="4" applyAlignment="1">
      <alignment horizontal="centerContinuous"/>
    </xf>
    <xf numFmtId="166" fontId="2" fillId="0" borderId="0" xfId="4" applyNumberFormat="1" applyAlignment="1">
      <alignment horizontal="centerContinuous"/>
    </xf>
    <xf numFmtId="0" fontId="2" fillId="0" borderId="0" xfId="4"/>
    <xf numFmtId="164" fontId="2" fillId="0" borderId="0" xfId="1" applyNumberFormat="1" applyFont="1"/>
    <xf numFmtId="166" fontId="2" fillId="0" borderId="0" xfId="4" applyNumberFormat="1"/>
    <xf numFmtId="0" fontId="2" fillId="0" borderId="0" xfId="8" applyAlignment="1">
      <alignment horizontal="centerContinuous"/>
    </xf>
    <xf numFmtId="166" fontId="2" fillId="0" borderId="0" xfId="11" applyNumberFormat="1" applyFont="1" applyAlignment="1">
      <alignment horizontal="centerContinuous"/>
    </xf>
    <xf numFmtId="0" fontId="2" fillId="0" borderId="0" xfId="8"/>
    <xf numFmtId="0" fontId="2" fillId="0" borderId="0" xfId="10" applyAlignment="1">
      <alignment horizontal="centerContinuous"/>
    </xf>
    <xf numFmtId="37" fontId="2" fillId="0" borderId="0" xfId="10" applyNumberFormat="1" applyAlignment="1">
      <alignment horizontal="centerContinuous"/>
    </xf>
    <xf numFmtId="0" fontId="2" fillId="0" borderId="0" xfId="10"/>
    <xf numFmtId="37" fontId="2" fillId="0" borderId="0" xfId="10" applyNumberFormat="1"/>
    <xf numFmtId="0" fontId="2" fillId="0" borderId="0" xfId="7" applyAlignment="1">
      <alignment horizontal="centerContinuous"/>
    </xf>
    <xf numFmtId="37" fontId="2" fillId="0" borderId="0" xfId="7" applyNumberFormat="1" applyAlignment="1">
      <alignment horizontal="centerContinuous"/>
    </xf>
    <xf numFmtId="0" fontId="2" fillId="0" borderId="0" xfId="7"/>
    <xf numFmtId="37" fontId="2" fillId="0" borderId="0" xfId="7" applyNumberFormat="1"/>
    <xf numFmtId="3" fontId="2" fillId="0" borderId="0" xfId="7" applyNumberFormat="1"/>
    <xf numFmtId="0" fontId="2" fillId="0" borderId="0" xfId="9"/>
    <xf numFmtId="0" fontId="4" fillId="0" borderId="0" xfId="9" applyFont="1"/>
    <xf numFmtId="37" fontId="2" fillId="0" borderId="0" xfId="9" applyNumberFormat="1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8" fillId="0" borderId="0" xfId="0" applyFont="1"/>
    <xf numFmtId="0" fontId="7" fillId="0" borderId="0" xfId="6" applyFont="1" applyAlignment="1">
      <alignment horizontal="centerContinuous"/>
    </xf>
    <xf numFmtId="0" fontId="9" fillId="0" borderId="0" xfId="6" applyFont="1" applyAlignment="1">
      <alignment horizontal="centerContinuous"/>
    </xf>
    <xf numFmtId="37" fontId="9" fillId="0" borderId="0" xfId="1" applyNumberFormat="1" applyFont="1" applyAlignment="1">
      <alignment horizontal="centerContinuous"/>
    </xf>
    <xf numFmtId="165" fontId="9" fillId="0" borderId="0" xfId="11" applyNumberFormat="1" applyFont="1" applyAlignment="1">
      <alignment horizontal="centerContinuous"/>
    </xf>
    <xf numFmtId="0" fontId="9" fillId="0" borderId="0" xfId="6" applyFont="1"/>
    <xf numFmtId="0" fontId="7" fillId="0" borderId="0" xfId="6" applyFont="1"/>
    <xf numFmtId="37" fontId="7" fillId="0" borderId="0" xfId="1" applyNumberFormat="1" applyFont="1"/>
    <xf numFmtId="37" fontId="7" fillId="0" borderId="0" xfId="1" applyNumberFormat="1" applyFont="1" applyAlignment="1">
      <alignment horizontal="center"/>
    </xf>
    <xf numFmtId="165" fontId="7" fillId="0" borderId="0" xfId="11" applyNumberFormat="1" applyFont="1" applyAlignment="1">
      <alignment horizontal="center"/>
    </xf>
    <xf numFmtId="37" fontId="7" fillId="0" borderId="1" xfId="1" applyNumberFormat="1" applyFont="1" applyBorder="1" applyAlignment="1">
      <alignment horizontal="center"/>
    </xf>
    <xf numFmtId="165" fontId="7" fillId="0" borderId="1" xfId="11" applyNumberFormat="1" applyFont="1" applyBorder="1" applyAlignment="1">
      <alignment horizontal="center"/>
    </xf>
    <xf numFmtId="37" fontId="9" fillId="0" borderId="0" xfId="1" applyNumberFormat="1" applyFont="1"/>
    <xf numFmtId="165" fontId="9" fillId="0" borderId="0" xfId="11" applyNumberFormat="1" applyFont="1"/>
    <xf numFmtId="164" fontId="9" fillId="0" borderId="0" xfId="1" applyNumberFormat="1" applyFont="1" applyFill="1" applyBorder="1"/>
    <xf numFmtId="37" fontId="9" fillId="0" borderId="2" xfId="1" applyNumberFormat="1" applyFont="1" applyBorder="1"/>
    <xf numFmtId="165" fontId="9" fillId="0" borderId="2" xfId="11" applyNumberFormat="1" applyFont="1" applyBorder="1"/>
    <xf numFmtId="37" fontId="9" fillId="0" borderId="0" xfId="1" applyNumberFormat="1" applyFont="1" applyBorder="1"/>
    <xf numFmtId="165" fontId="9" fillId="0" borderId="0" xfId="11" applyNumberFormat="1" applyFont="1" applyBorder="1"/>
    <xf numFmtId="37" fontId="9" fillId="0" borderId="3" xfId="1" applyNumberFormat="1" applyFont="1" applyBorder="1"/>
    <xf numFmtId="165" fontId="9" fillId="0" borderId="3" xfId="11" applyNumberFormat="1" applyFont="1" applyBorder="1"/>
    <xf numFmtId="37" fontId="9" fillId="0" borderId="0" xfId="6" applyNumberFormat="1" applyFont="1"/>
    <xf numFmtId="165" fontId="9" fillId="0" borderId="0" xfId="6" applyNumberFormat="1" applyFont="1"/>
    <xf numFmtId="164" fontId="9" fillId="0" borderId="0" xfId="1" applyNumberFormat="1" applyFont="1"/>
    <xf numFmtId="164" fontId="9" fillId="0" borderId="0" xfId="1" applyNumberFormat="1" applyFont="1" applyBorder="1"/>
    <xf numFmtId="0" fontId="3" fillId="0" borderId="0" xfId="6" applyFont="1"/>
    <xf numFmtId="37" fontId="3" fillId="0" borderId="0" xfId="1" applyNumberFormat="1" applyFont="1"/>
    <xf numFmtId="37" fontId="3" fillId="0" borderId="3" xfId="1" applyNumberFormat="1" applyFont="1" applyBorder="1"/>
    <xf numFmtId="165" fontId="3" fillId="0" borderId="3" xfId="11" applyNumberFormat="1" applyFont="1" applyBorder="1"/>
    <xf numFmtId="167" fontId="9" fillId="0" borderId="0" xfId="2" applyNumberFormat="1" applyFont="1"/>
    <xf numFmtId="167" fontId="3" fillId="0" borderId="3" xfId="2" applyNumberFormat="1" applyFont="1" applyBorder="1"/>
    <xf numFmtId="167" fontId="3" fillId="0" borderId="0" xfId="2" applyNumberFormat="1" applyFont="1"/>
    <xf numFmtId="167" fontId="9" fillId="0" borderId="2" xfId="2" applyNumberFormat="1" applyFont="1" applyBorder="1"/>
    <xf numFmtId="0" fontId="9" fillId="0" borderId="0" xfId="3" applyFont="1"/>
    <xf numFmtId="37" fontId="9" fillId="0" borderId="0" xfId="3" applyNumberFormat="1" applyFont="1"/>
    <xf numFmtId="166" fontId="9" fillId="0" borderId="0" xfId="3" applyNumberFormat="1" applyFont="1"/>
    <xf numFmtId="166" fontId="9" fillId="0" borderId="0" xfId="11" applyNumberFormat="1" applyFont="1"/>
    <xf numFmtId="37" fontId="9" fillId="0" borderId="0" xfId="0" applyNumberFormat="1" applyFont="1" applyFill="1"/>
    <xf numFmtId="166" fontId="9" fillId="0" borderId="1" xfId="11" applyNumberFormat="1" applyFont="1" applyBorder="1"/>
    <xf numFmtId="37" fontId="9" fillId="0" borderId="0" xfId="0" applyNumberFormat="1" applyFont="1"/>
    <xf numFmtId="166" fontId="9" fillId="0" borderId="2" xfId="11" applyNumberFormat="1" applyFont="1" applyBorder="1"/>
    <xf numFmtId="166" fontId="9" fillId="0" borderId="0" xfId="11" applyNumberFormat="1" applyFont="1" applyBorder="1"/>
    <xf numFmtId="166" fontId="9" fillId="0" borderId="3" xfId="11" applyNumberFormat="1" applyFont="1" applyBorder="1"/>
    <xf numFmtId="0" fontId="3" fillId="0" borderId="0" xfId="3" applyFont="1"/>
    <xf numFmtId="37" fontId="3" fillId="0" borderId="0" xfId="3" applyNumberFormat="1" applyFont="1"/>
    <xf numFmtId="166" fontId="3" fillId="0" borderId="3" xfId="11" applyNumberFormat="1" applyFont="1" applyBorder="1"/>
    <xf numFmtId="167" fontId="9" fillId="0" borderId="2" xfId="2" applyNumberFormat="1" applyFont="1" applyFill="1" applyBorder="1"/>
    <xf numFmtId="167" fontId="3" fillId="0" borderId="0" xfId="2" applyNumberFormat="1" applyFont="1" applyBorder="1"/>
    <xf numFmtId="37" fontId="3" fillId="0" borderId="0" xfId="1" applyNumberFormat="1" applyFont="1" applyBorder="1"/>
    <xf numFmtId="166" fontId="3" fillId="0" borderId="0" xfId="11" applyNumberFormat="1" applyFont="1" applyBorder="1"/>
    <xf numFmtId="167" fontId="9" fillId="0" borderId="0" xfId="2" applyNumberFormat="1" applyFont="1" applyBorder="1"/>
    <xf numFmtId="0" fontId="9" fillId="0" borderId="0" xfId="4" applyFont="1"/>
    <xf numFmtId="166" fontId="9" fillId="0" borderId="0" xfId="4" applyNumberFormat="1" applyFont="1"/>
    <xf numFmtId="3" fontId="9" fillId="0" borderId="0" xfId="0" applyNumberFormat="1" applyFont="1"/>
    <xf numFmtId="164" fontId="9" fillId="0" borderId="2" xfId="1" applyNumberFormat="1" applyFont="1" applyBorder="1"/>
    <xf numFmtId="164" fontId="9" fillId="0" borderId="3" xfId="1" applyNumberFormat="1" applyFont="1" applyBorder="1"/>
    <xf numFmtId="3" fontId="9" fillId="0" borderId="0" xfId="0" applyNumberFormat="1" applyFont="1" applyFill="1"/>
    <xf numFmtId="0" fontId="3" fillId="0" borderId="0" xfId="4" applyFont="1"/>
    <xf numFmtId="164" fontId="3" fillId="0" borderId="3" xfId="1" applyNumberFormat="1" applyFont="1" applyBorder="1"/>
    <xf numFmtId="0" fontId="9" fillId="0" borderId="0" xfId="8" applyFont="1"/>
    <xf numFmtId="0" fontId="3" fillId="0" borderId="0" xfId="8" applyFont="1"/>
    <xf numFmtId="0" fontId="9" fillId="0" borderId="0" xfId="10" applyFont="1"/>
    <xf numFmtId="37" fontId="9" fillId="0" borderId="0" xfId="10" applyNumberFormat="1" applyFont="1"/>
    <xf numFmtId="0" fontId="3" fillId="0" borderId="0" xfId="10" applyFont="1"/>
    <xf numFmtId="37" fontId="3" fillId="0" borderId="0" xfId="10" applyNumberFormat="1" applyFont="1"/>
    <xf numFmtId="0" fontId="9" fillId="0" borderId="0" xfId="7" applyFont="1"/>
    <xf numFmtId="37" fontId="9" fillId="0" borderId="0" xfId="7" applyNumberFormat="1" applyFont="1"/>
    <xf numFmtId="0" fontId="3" fillId="0" borderId="0" xfId="7" applyFont="1"/>
    <xf numFmtId="37" fontId="3" fillId="0" borderId="0" xfId="7" applyNumberFormat="1" applyFont="1"/>
    <xf numFmtId="0" fontId="9" fillId="0" borderId="0" xfId="9" applyFont="1"/>
    <xf numFmtId="37" fontId="9" fillId="0" borderId="0" xfId="9" applyNumberFormat="1" applyFont="1"/>
    <xf numFmtId="37" fontId="9" fillId="0" borderId="0" xfId="0" applyNumberFormat="1" applyFont="1" applyBorder="1"/>
    <xf numFmtId="37" fontId="9" fillId="0" borderId="0" xfId="9" applyNumberFormat="1" applyFont="1" applyBorder="1"/>
    <xf numFmtId="0" fontId="3" fillId="0" borderId="0" xfId="9" applyFont="1"/>
    <xf numFmtId="37" fontId="3" fillId="0" borderId="0" xfId="9" applyNumberFormat="1" applyFont="1"/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7" fontId="5" fillId="0" borderId="0" xfId="2" applyNumberFormat="1" applyFont="1" applyFill="1" applyBorder="1"/>
    <xf numFmtId="167" fontId="5" fillId="0" borderId="0" xfId="2" applyNumberFormat="1" applyFont="1" applyFill="1"/>
    <xf numFmtId="167" fontId="7" fillId="0" borderId="0" xfId="2" applyNumberFormat="1" applyFont="1" applyFill="1"/>
    <xf numFmtId="0" fontId="7" fillId="0" borderId="0" xfId="0" applyFont="1" applyFill="1"/>
    <xf numFmtId="167" fontId="7" fillId="0" borderId="3" xfId="2" applyNumberFormat="1" applyFont="1" applyFill="1" applyBorder="1"/>
    <xf numFmtId="167" fontId="7" fillId="0" borderId="0" xfId="2" applyNumberFormat="1" applyFont="1" applyFill="1" applyBorder="1"/>
    <xf numFmtId="164" fontId="1" fillId="0" borderId="0" xfId="1" applyNumberFormat="1" applyFill="1"/>
    <xf numFmtId="37" fontId="5" fillId="0" borderId="0" xfId="1" applyNumberFormat="1" applyFont="1"/>
    <xf numFmtId="0" fontId="9" fillId="0" borderId="0" xfId="0" applyFont="1" applyBorder="1"/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</cellXfs>
  <cellStyles count="12">
    <cellStyle name="Comma" xfId="1" builtinId="3"/>
    <cellStyle name="Currency" xfId="2" builtinId="4"/>
    <cellStyle name="Normal" xfId="0" builtinId="0"/>
    <cellStyle name="Normal_Ag Exp Sta Sum" xfId="3"/>
    <cellStyle name="Normal_Ag Ext Div Sum" xfId="4"/>
    <cellStyle name="Normal_All Agency" xfId="5"/>
    <cellStyle name="Normal_Gen Univ Sum" xfId="6"/>
    <cellStyle name="Normal_OKC Sum" xfId="7"/>
    <cellStyle name="Normal_Okm Sum" xfId="8"/>
    <cellStyle name="Normal_Osteo Sum" xfId="9"/>
    <cellStyle name="Normal_Vet Med Sum" xfId="10"/>
    <cellStyle name="Percent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zoomScale="80" workbookViewId="0">
      <pane xSplit="3" topLeftCell="D1" activePane="topRight" state="frozen"/>
      <selection activeCell="F40" sqref="F40"/>
      <selection pane="topRight" activeCell="C2" sqref="C2:M2"/>
    </sheetView>
  </sheetViews>
  <sheetFormatPr defaultRowHeight="12.75"/>
  <cols>
    <col min="1" max="1" width="1.28515625" customWidth="1"/>
    <col min="2" max="2" width="1.42578125" customWidth="1"/>
    <col min="3" max="3" width="50.42578125" customWidth="1"/>
    <col min="4" max="4" width="16.5703125" style="3" customWidth="1"/>
    <col min="5" max="5" width="18.140625" style="3" customWidth="1"/>
    <col min="6" max="7" width="16.5703125" style="3" customWidth="1"/>
    <col min="8" max="8" width="17.28515625" style="3" customWidth="1"/>
    <col min="9" max="12" width="16.5703125" style="3" customWidth="1"/>
  </cols>
  <sheetData>
    <row r="1" spans="1:13">
      <c r="C1" s="1"/>
      <c r="D1" s="2"/>
      <c r="E1" s="2"/>
      <c r="F1" s="2"/>
      <c r="G1" s="2"/>
      <c r="H1" s="2"/>
      <c r="I1" s="2"/>
      <c r="J1" s="2"/>
      <c r="K1" s="2"/>
    </row>
    <row r="2" spans="1:13" ht="18">
      <c r="C2" s="145" t="s">
        <v>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8">
      <c r="C3" s="145" t="s">
        <v>126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18">
      <c r="C4" s="145" t="s">
        <v>132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30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4.25">
      <c r="C6" s="5"/>
      <c r="D6" s="6"/>
      <c r="E6" s="6"/>
      <c r="F6" s="6"/>
      <c r="G6" s="6"/>
      <c r="H6" s="6"/>
      <c r="I6" s="6"/>
      <c r="J6" s="6"/>
      <c r="K6" s="6"/>
      <c r="L6" s="7"/>
    </row>
    <row r="7" spans="1:13" ht="14.25">
      <c r="C7" s="5"/>
      <c r="D7" s="132"/>
      <c r="E7" s="132" t="s">
        <v>2</v>
      </c>
      <c r="F7" s="132" t="s">
        <v>2</v>
      </c>
      <c r="G7" s="132" t="s">
        <v>7</v>
      </c>
      <c r="H7" s="132" t="s">
        <v>3</v>
      </c>
      <c r="I7" s="132" t="s">
        <v>4</v>
      </c>
      <c r="J7" s="132" t="s">
        <v>3</v>
      </c>
      <c r="K7" s="132"/>
      <c r="L7" s="132"/>
      <c r="M7" s="13"/>
    </row>
    <row r="8" spans="1:13" ht="14.25">
      <c r="C8" s="5"/>
      <c r="D8" s="133" t="s">
        <v>5</v>
      </c>
      <c r="E8" s="133" t="s">
        <v>1</v>
      </c>
      <c r="F8" s="133" t="s">
        <v>6</v>
      </c>
      <c r="G8" s="132" t="s">
        <v>128</v>
      </c>
      <c r="H8" s="133" t="s">
        <v>8</v>
      </c>
      <c r="I8" s="133" t="s">
        <v>9</v>
      </c>
      <c r="J8" s="133" t="s">
        <v>10</v>
      </c>
      <c r="K8" s="133" t="s">
        <v>7</v>
      </c>
      <c r="L8" s="133" t="s">
        <v>11</v>
      </c>
      <c r="M8" s="13"/>
    </row>
    <row r="9" spans="1:13" ht="14.25">
      <c r="A9" s="8"/>
      <c r="C9" s="9"/>
      <c r="D9" s="134" t="s">
        <v>12</v>
      </c>
      <c r="E9" s="134" t="s">
        <v>133</v>
      </c>
      <c r="F9" s="134" t="s">
        <v>13</v>
      </c>
      <c r="G9" s="134" t="s">
        <v>129</v>
      </c>
      <c r="H9" s="134" t="s">
        <v>14</v>
      </c>
      <c r="I9" s="134" t="s">
        <v>15</v>
      </c>
      <c r="J9" s="134" t="s">
        <v>16</v>
      </c>
      <c r="K9" s="134" t="s">
        <v>17</v>
      </c>
      <c r="L9" s="134" t="s">
        <v>18</v>
      </c>
      <c r="M9" s="13"/>
    </row>
    <row r="10" spans="1:13" ht="14.25">
      <c r="A10" s="10" t="s">
        <v>19</v>
      </c>
      <c r="B10" s="11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3" ht="14.25">
      <c r="A11" s="10"/>
      <c r="B11" s="10" t="s">
        <v>20</v>
      </c>
      <c r="C11" s="12"/>
      <c r="D11" s="15"/>
      <c r="E11" s="16"/>
      <c r="F11" s="16"/>
      <c r="G11" s="16"/>
      <c r="H11" s="16"/>
      <c r="I11" s="16"/>
      <c r="J11" s="16"/>
      <c r="K11" s="16"/>
      <c r="L11" s="16"/>
      <c r="M11" s="13"/>
    </row>
    <row r="12" spans="1:13" ht="14.25">
      <c r="C12" s="12" t="s">
        <v>21</v>
      </c>
      <c r="D12" s="135">
        <f>'Gen Univ Sum'!E7</f>
        <v>123808252</v>
      </c>
      <c r="E12" s="136">
        <f>'Ag Exp '!E7</f>
        <v>27229189</v>
      </c>
      <c r="F12" s="136">
        <f>'Coop Ext'!E7</f>
        <v>29755007</v>
      </c>
      <c r="G12" s="136">
        <f>'Okm '!E7</f>
        <v>14784510</v>
      </c>
      <c r="H12" s="136">
        <f>'Vet Med '!E8</f>
        <v>11120425</v>
      </c>
      <c r="I12" s="136">
        <f>'OKC '!E7</f>
        <v>11404027</v>
      </c>
      <c r="J12" s="136">
        <f>CHS!E7</f>
        <v>14448536</v>
      </c>
      <c r="K12" s="136">
        <f>'Tulsa '!E7</f>
        <v>11618196</v>
      </c>
      <c r="L12" s="136">
        <f t="shared" ref="L12:L21" si="0">SUM(D12:K12)</f>
        <v>244168142</v>
      </c>
      <c r="M12" s="13"/>
    </row>
    <row r="13" spans="1:13" ht="14.25">
      <c r="C13" s="12" t="s">
        <v>127</v>
      </c>
      <c r="D13" s="15">
        <f>'Gen Univ Sum'!E8</f>
        <v>956979</v>
      </c>
      <c r="E13" s="15">
        <v>0</v>
      </c>
      <c r="F13" s="15">
        <v>0</v>
      </c>
      <c r="G13" s="15">
        <v>101222</v>
      </c>
      <c r="H13" s="15">
        <v>0</v>
      </c>
      <c r="I13" s="15">
        <f>172651</f>
        <v>172651</v>
      </c>
      <c r="J13" s="15">
        <v>6300000</v>
      </c>
      <c r="K13" s="15">
        <v>0</v>
      </c>
      <c r="L13" s="16">
        <f t="shared" si="0"/>
        <v>7530852</v>
      </c>
      <c r="M13" s="13"/>
    </row>
    <row r="14" spans="1:13" ht="14.25">
      <c r="C14" s="12" t="s">
        <v>22</v>
      </c>
      <c r="D14" s="15">
        <v>0</v>
      </c>
      <c r="E14" s="16">
        <f>'Ag Exp '!E14</f>
        <v>3960780</v>
      </c>
      <c r="F14" s="16">
        <f>'Coop Ext'!E9</f>
        <v>7263449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f t="shared" si="0"/>
        <v>11224229</v>
      </c>
      <c r="M14" s="13"/>
    </row>
    <row r="15" spans="1:13" s="13" customFormat="1" ht="14.25">
      <c r="C15" s="14" t="s">
        <v>23</v>
      </c>
      <c r="D15" s="15">
        <f>'Gen Univ Sum'!E9</f>
        <v>155070298</v>
      </c>
      <c r="E15" s="16">
        <v>0</v>
      </c>
      <c r="F15" s="16">
        <v>0</v>
      </c>
      <c r="G15" s="16">
        <f>'Okm '!E8</f>
        <v>9252731</v>
      </c>
      <c r="H15" s="16">
        <f>'Vet Med '!E9</f>
        <v>5991340</v>
      </c>
      <c r="I15" s="16">
        <f>'OKC '!E8</f>
        <v>11484772</v>
      </c>
      <c r="J15" s="16">
        <f>CHS!E8</f>
        <v>8032341</v>
      </c>
      <c r="K15" s="16">
        <f>'Tulsa '!E8</f>
        <v>8341761</v>
      </c>
      <c r="L15" s="16">
        <f t="shared" si="0"/>
        <v>198173243</v>
      </c>
    </row>
    <row r="16" spans="1:13" ht="14.25">
      <c r="C16" s="12" t="s">
        <v>24</v>
      </c>
      <c r="D16" s="142">
        <f>'Gen Univ Sum'!E10</f>
        <v>24747275</v>
      </c>
      <c r="E16" s="16">
        <f>'Ag Exp '!E16</f>
        <v>2295000</v>
      </c>
      <c r="F16" s="16">
        <v>0</v>
      </c>
      <c r="G16" s="16">
        <f>'Okm '!E9-G13</f>
        <v>527750</v>
      </c>
      <c r="H16" s="16">
        <f>'Vet Med '!E10</f>
        <v>2570895</v>
      </c>
      <c r="I16" s="16">
        <f>'OKC '!E9-I13</f>
        <v>5515</v>
      </c>
      <c r="J16" s="16">
        <f>CHS!E9-J13</f>
        <v>758023</v>
      </c>
      <c r="K16" s="16">
        <v>0</v>
      </c>
      <c r="L16" s="16">
        <f t="shared" si="0"/>
        <v>30904458</v>
      </c>
      <c r="M16" s="13"/>
    </row>
    <row r="17" spans="1:13" ht="14.25">
      <c r="C17" s="12" t="s">
        <v>25</v>
      </c>
      <c r="D17" s="15">
        <f>'Gen Univ Sum'!E11</f>
        <v>252606</v>
      </c>
      <c r="E17" s="16">
        <v>0</v>
      </c>
      <c r="F17" s="16">
        <v>0</v>
      </c>
      <c r="G17" s="16">
        <f>'Okm '!E10</f>
        <v>14100</v>
      </c>
      <c r="H17" s="16">
        <f>'Vet Med '!E11</f>
        <v>1225000</v>
      </c>
      <c r="I17" s="16">
        <v>0</v>
      </c>
      <c r="J17" s="16">
        <f>CHS!E10</f>
        <v>18000000</v>
      </c>
      <c r="K17" s="16">
        <v>0</v>
      </c>
      <c r="L17" s="16">
        <f t="shared" si="0"/>
        <v>19491706</v>
      </c>
      <c r="M17" s="13"/>
    </row>
    <row r="18" spans="1:13" ht="14.25">
      <c r="C18" s="12" t="s">
        <v>26</v>
      </c>
      <c r="D18" s="15">
        <f>'Gen Univ Sum'!E12</f>
        <v>4245250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6">
        <f t="shared" si="0"/>
        <v>4245250</v>
      </c>
      <c r="M18" s="13"/>
    </row>
    <row r="19" spans="1:13" s="13" customFormat="1" ht="14.25">
      <c r="C19" s="17" t="s">
        <v>27</v>
      </c>
      <c r="D19" s="15">
        <f>'Gen Univ Sum'!E13</f>
        <v>1852846</v>
      </c>
      <c r="E19" s="16">
        <v>0</v>
      </c>
      <c r="F19" s="16">
        <v>0</v>
      </c>
      <c r="G19" s="16">
        <v>0</v>
      </c>
      <c r="H19" s="16">
        <f>'Vet Med '!E12</f>
        <v>4135000</v>
      </c>
      <c r="I19" s="16">
        <v>0</v>
      </c>
      <c r="J19" s="16">
        <v>0</v>
      </c>
      <c r="K19" s="16">
        <v>0</v>
      </c>
      <c r="L19" s="16">
        <f t="shared" si="0"/>
        <v>5987846</v>
      </c>
    </row>
    <row r="20" spans="1:13" ht="14.25">
      <c r="C20" s="18" t="s">
        <v>28</v>
      </c>
      <c r="D20" s="15">
        <f>'Gen Univ Sum'!E14</f>
        <v>7184712</v>
      </c>
      <c r="E20" s="15">
        <f>'Ag Exp '!E17</f>
        <v>4000000</v>
      </c>
      <c r="F20" s="15">
        <f>'Coop Ext'!E11</f>
        <v>4000000</v>
      </c>
      <c r="G20" s="15">
        <f>'Okm '!E11</f>
        <v>92850</v>
      </c>
      <c r="H20" s="15">
        <f>'Vet Med '!E13</f>
        <v>30000</v>
      </c>
      <c r="I20" s="15">
        <f>'OKC '!E10</f>
        <v>230364</v>
      </c>
      <c r="J20" s="15">
        <f>CHS!E12</f>
        <v>6428460</v>
      </c>
      <c r="K20" s="15">
        <f>'Tulsa '!E9</f>
        <v>734751</v>
      </c>
      <c r="L20" s="15">
        <f t="shared" si="0"/>
        <v>22701137</v>
      </c>
      <c r="M20" s="13"/>
    </row>
    <row r="21" spans="1:13" ht="14.25">
      <c r="C21" s="18" t="s">
        <v>135</v>
      </c>
      <c r="D21" s="19">
        <f>'Gen Univ Sum'!E15</f>
        <v>9855831</v>
      </c>
      <c r="E21" s="19">
        <f>'Ag Exp '!E18</f>
        <v>2168943</v>
      </c>
      <c r="F21" s="19">
        <f>'Coop Ext'!E13</f>
        <v>2376815</v>
      </c>
      <c r="G21" s="19">
        <f>'Okm '!E12</f>
        <v>1169884</v>
      </c>
      <c r="H21" s="19">
        <f>'Vet Med '!E14</f>
        <v>885037</v>
      </c>
      <c r="I21" s="19">
        <f>'OKC '!E11</f>
        <v>887671</v>
      </c>
      <c r="J21" s="19">
        <f>CHS!E13</f>
        <v>1138890</v>
      </c>
      <c r="K21" s="19">
        <f>'Tulsa '!E10</f>
        <v>928280</v>
      </c>
      <c r="L21" s="19">
        <f t="shared" si="0"/>
        <v>19411351</v>
      </c>
      <c r="M21" s="13"/>
    </row>
    <row r="22" spans="1:13" ht="14.25">
      <c r="C22" s="12" t="s">
        <v>29</v>
      </c>
      <c r="D22" s="15">
        <f>SUM(D12:D21)</f>
        <v>327974049</v>
      </c>
      <c r="E22" s="15">
        <f t="shared" ref="E22:L22" si="1">SUM(E12:E21)</f>
        <v>39653912</v>
      </c>
      <c r="F22" s="15">
        <f t="shared" si="1"/>
        <v>43395271</v>
      </c>
      <c r="G22" s="15">
        <f t="shared" si="1"/>
        <v>25943047</v>
      </c>
      <c r="H22" s="15">
        <f t="shared" si="1"/>
        <v>25957697</v>
      </c>
      <c r="I22" s="15">
        <f>SUM(I12:I21)</f>
        <v>24185000</v>
      </c>
      <c r="J22" s="15">
        <f>SUM(J12:J21)</f>
        <v>55106250</v>
      </c>
      <c r="K22" s="15">
        <f t="shared" si="1"/>
        <v>21622988</v>
      </c>
      <c r="L22" s="15">
        <f t="shared" si="1"/>
        <v>563838214</v>
      </c>
      <c r="M22" s="13"/>
    </row>
    <row r="23" spans="1:13" ht="14.25">
      <c r="C23" s="18"/>
      <c r="D23" s="16"/>
      <c r="E23" s="16"/>
      <c r="F23" s="16"/>
      <c r="G23" s="16"/>
      <c r="H23" s="16"/>
      <c r="I23" s="16"/>
      <c r="J23" s="16"/>
      <c r="K23" s="16"/>
      <c r="L23" s="16"/>
      <c r="M23" s="13"/>
    </row>
    <row r="24" spans="1:13" ht="14.25">
      <c r="C24" s="18" t="s">
        <v>30</v>
      </c>
      <c r="D24" s="19">
        <v>0</v>
      </c>
      <c r="E24" s="19">
        <f>'Ag Exp '!E22</f>
        <v>3750000</v>
      </c>
      <c r="F24" s="19">
        <f>'Coop Ext'!E17</f>
        <v>8000000</v>
      </c>
      <c r="G24" s="19">
        <f>'Okm '!E16</f>
        <v>855370</v>
      </c>
      <c r="H24" s="19">
        <v>850000</v>
      </c>
      <c r="I24" s="19">
        <f>'OKC '!E15</f>
        <v>0</v>
      </c>
      <c r="J24" s="19">
        <f>CHS!E17</f>
        <v>1858306</v>
      </c>
      <c r="K24" s="19">
        <f>'Tulsa '!E14</f>
        <v>1995233</v>
      </c>
      <c r="L24" s="19">
        <f>SUM(D24:K24)</f>
        <v>17308909</v>
      </c>
      <c r="M24" s="13"/>
    </row>
    <row r="25" spans="1:13" s="20" customFormat="1" ht="15.75">
      <c r="C25" s="21" t="s">
        <v>31</v>
      </c>
      <c r="D25" s="137">
        <f t="shared" ref="D25:L25" si="2">SUM(D22:D24)</f>
        <v>327974049</v>
      </c>
      <c r="E25" s="137">
        <f t="shared" si="2"/>
        <v>43403912</v>
      </c>
      <c r="F25" s="137">
        <f t="shared" si="2"/>
        <v>51395271</v>
      </c>
      <c r="G25" s="137">
        <f t="shared" si="2"/>
        <v>26798417</v>
      </c>
      <c r="H25" s="137">
        <f t="shared" si="2"/>
        <v>26807697</v>
      </c>
      <c r="I25" s="137">
        <f t="shared" si="2"/>
        <v>24185000</v>
      </c>
      <c r="J25" s="137">
        <f t="shared" si="2"/>
        <v>56964556</v>
      </c>
      <c r="K25" s="137">
        <f>SUM(K22:K24)</f>
        <v>23618221</v>
      </c>
      <c r="L25" s="137">
        <f t="shared" si="2"/>
        <v>581147123</v>
      </c>
      <c r="M25" s="138"/>
    </row>
    <row r="26" spans="1:13" s="54" customFormat="1" ht="14.25">
      <c r="C26" s="18"/>
      <c r="D26" s="16"/>
      <c r="E26" s="16"/>
      <c r="F26" s="16"/>
      <c r="G26" s="16"/>
      <c r="H26" s="16"/>
      <c r="I26" s="16"/>
      <c r="J26" s="16"/>
      <c r="K26" s="16"/>
      <c r="L26" s="15"/>
      <c r="M26" s="55"/>
    </row>
    <row r="27" spans="1:13" s="54" customFormat="1" ht="14.25">
      <c r="B27" s="22"/>
      <c r="C27" s="12" t="s">
        <v>32</v>
      </c>
      <c r="D27" s="15">
        <v>45000000</v>
      </c>
      <c r="E27" s="15">
        <v>11000000</v>
      </c>
      <c r="F27" s="15">
        <v>4066000</v>
      </c>
      <c r="G27" s="15">
        <v>2769835</v>
      </c>
      <c r="H27" s="15">
        <v>11000000</v>
      </c>
      <c r="I27" s="15">
        <v>3214595</v>
      </c>
      <c r="J27" s="15">
        <v>11500000</v>
      </c>
      <c r="K27" s="15">
        <v>60000</v>
      </c>
      <c r="L27" s="16">
        <f>SUM(D27:K27)</f>
        <v>88610430</v>
      </c>
      <c r="M27" s="55"/>
    </row>
    <row r="28" spans="1:13" s="55" customFormat="1" ht="14.25">
      <c r="C28" s="23" t="s">
        <v>33</v>
      </c>
      <c r="D28" s="16">
        <v>156338230</v>
      </c>
      <c r="E28" s="16">
        <v>769132</v>
      </c>
      <c r="F28" s="16">
        <v>1050020</v>
      </c>
      <c r="G28" s="16">
        <v>9501251</v>
      </c>
      <c r="H28" s="16">
        <v>268000</v>
      </c>
      <c r="I28" s="16">
        <v>4606435</v>
      </c>
      <c r="J28" s="16">
        <v>65246699</v>
      </c>
      <c r="K28" s="16">
        <v>1877678</v>
      </c>
      <c r="L28" s="16">
        <f>SUM(D28:K28)</f>
        <v>239657445</v>
      </c>
    </row>
    <row r="29" spans="1:13" s="54" customFormat="1" ht="14.25">
      <c r="A29" s="56"/>
      <c r="C29" s="9" t="s">
        <v>34</v>
      </c>
      <c r="D29" s="16">
        <v>41000000</v>
      </c>
      <c r="E29" s="16">
        <v>0</v>
      </c>
      <c r="F29" s="16">
        <v>0</v>
      </c>
      <c r="G29" s="16">
        <v>6400000</v>
      </c>
      <c r="H29" s="16">
        <v>0</v>
      </c>
      <c r="I29" s="16">
        <v>7400000</v>
      </c>
      <c r="J29" s="16">
        <v>0</v>
      </c>
      <c r="K29" s="16">
        <v>0</v>
      </c>
      <c r="L29" s="16">
        <f>SUM(D29:K29)</f>
        <v>54800000</v>
      </c>
      <c r="M29" s="55"/>
    </row>
    <row r="30" spans="1:13" s="20" customFormat="1" ht="16.5" thickBot="1">
      <c r="A30" s="24"/>
      <c r="B30" s="25"/>
      <c r="C30" s="20" t="s">
        <v>35</v>
      </c>
      <c r="D30" s="139">
        <f t="shared" ref="D30:L30" si="3">SUM(D25:D29)</f>
        <v>570312279</v>
      </c>
      <c r="E30" s="139">
        <f t="shared" si="3"/>
        <v>55173044</v>
      </c>
      <c r="F30" s="139">
        <f t="shared" si="3"/>
        <v>56511291</v>
      </c>
      <c r="G30" s="139">
        <f t="shared" si="3"/>
        <v>45469503</v>
      </c>
      <c r="H30" s="139">
        <f t="shared" si="3"/>
        <v>38075697</v>
      </c>
      <c r="I30" s="139">
        <f t="shared" si="3"/>
        <v>39406030</v>
      </c>
      <c r="J30" s="139">
        <f t="shared" si="3"/>
        <v>133711255</v>
      </c>
      <c r="K30" s="139">
        <f t="shared" si="3"/>
        <v>25555899</v>
      </c>
      <c r="L30" s="139">
        <f t="shared" si="3"/>
        <v>964214998</v>
      </c>
      <c r="M30" s="138"/>
    </row>
    <row r="31" spans="1:13" s="54" customFormat="1" ht="39" customHeight="1" thickTop="1">
      <c r="C31" s="26"/>
      <c r="D31" s="16"/>
      <c r="E31" s="16"/>
      <c r="F31" s="16"/>
      <c r="G31" s="16"/>
      <c r="H31" s="16"/>
      <c r="I31" s="16"/>
      <c r="J31" s="16"/>
      <c r="K31" s="16"/>
      <c r="L31" s="16"/>
      <c r="M31" s="55"/>
    </row>
    <row r="32" spans="1:13" s="54" customFormat="1" ht="14.25">
      <c r="A32" s="57" t="s">
        <v>36</v>
      </c>
      <c r="B32" s="57"/>
      <c r="C32" s="26"/>
      <c r="D32" s="16"/>
      <c r="E32" s="16"/>
      <c r="F32" s="16"/>
      <c r="G32" s="16"/>
      <c r="H32" s="16"/>
      <c r="I32" s="16"/>
      <c r="J32" s="16"/>
      <c r="K32" s="16"/>
      <c r="L32" s="16"/>
      <c r="M32" s="55"/>
    </row>
    <row r="33" spans="1:13" s="54" customFormat="1" ht="14.25">
      <c r="A33" s="57"/>
      <c r="B33" s="57" t="s">
        <v>20</v>
      </c>
      <c r="C33" s="26"/>
      <c r="D33" s="16"/>
      <c r="E33" s="16"/>
      <c r="F33" s="16"/>
      <c r="G33" s="16"/>
      <c r="H33" s="16"/>
      <c r="I33" s="16"/>
      <c r="J33" s="16"/>
      <c r="K33" s="16"/>
      <c r="L33" s="16"/>
      <c r="M33" s="55"/>
    </row>
    <row r="34" spans="1:13" s="54" customFormat="1" ht="14.25">
      <c r="C34" s="26" t="s">
        <v>37</v>
      </c>
      <c r="D34" s="136">
        <f>'Gen Univ Sum'!E42</f>
        <v>131289699</v>
      </c>
      <c r="E34" s="136">
        <v>0</v>
      </c>
      <c r="F34" s="136">
        <v>0</v>
      </c>
      <c r="G34" s="136">
        <f>'Okm '!E38</f>
        <v>12788327</v>
      </c>
      <c r="H34" s="136">
        <f>'Vet Med '!E40</f>
        <v>8165142</v>
      </c>
      <c r="I34" s="136">
        <f>'OKC '!E37</f>
        <v>13590092</v>
      </c>
      <c r="J34" s="136">
        <f>CHS!E39</f>
        <v>33644841</v>
      </c>
      <c r="K34" s="136">
        <f>'Tulsa '!E36</f>
        <v>12323432</v>
      </c>
      <c r="L34" s="136">
        <f t="shared" ref="L34:L42" si="4">SUM(D34:K34)</f>
        <v>211801533</v>
      </c>
      <c r="M34" s="55"/>
    </row>
    <row r="35" spans="1:13" s="54" customFormat="1" ht="14.25">
      <c r="C35" s="26" t="s">
        <v>38</v>
      </c>
      <c r="D35" s="16">
        <f>'Gen Univ Sum'!E43</f>
        <v>31187730</v>
      </c>
      <c r="E35" s="16">
        <f>E25</f>
        <v>43403912</v>
      </c>
      <c r="F35" s="16">
        <v>0</v>
      </c>
      <c r="G35" s="16">
        <v>0</v>
      </c>
      <c r="H35" s="16">
        <f>'Vet Med '!E41</f>
        <v>4716616</v>
      </c>
      <c r="I35" s="16">
        <v>0</v>
      </c>
      <c r="J35" s="16">
        <f>CHS!E40</f>
        <v>3146520</v>
      </c>
      <c r="K35" s="16">
        <f>'Tulsa '!E37</f>
        <v>372548</v>
      </c>
      <c r="L35" s="16">
        <f t="shared" si="4"/>
        <v>82827326</v>
      </c>
      <c r="M35" s="55"/>
    </row>
    <row r="36" spans="1:13" s="54" customFormat="1" ht="14.25">
      <c r="C36" s="26" t="s">
        <v>39</v>
      </c>
      <c r="D36" s="16">
        <f>'Gen Univ Sum'!E44</f>
        <v>4602203</v>
      </c>
      <c r="E36" s="16">
        <v>0</v>
      </c>
      <c r="F36" s="16">
        <v>51395271</v>
      </c>
      <c r="G36" s="16">
        <v>0</v>
      </c>
      <c r="H36" s="16">
        <f>'Vet Med '!E42</f>
        <v>8750384</v>
      </c>
      <c r="I36" s="16">
        <v>0</v>
      </c>
      <c r="J36" s="16">
        <f>CHS!E41</f>
        <v>5365655</v>
      </c>
      <c r="K36" s="16">
        <f>'Tulsa '!E38</f>
        <v>145907</v>
      </c>
      <c r="L36" s="16">
        <f t="shared" si="4"/>
        <v>70259420</v>
      </c>
      <c r="M36" s="55"/>
    </row>
    <row r="37" spans="1:13" s="54" customFormat="1" ht="14.25">
      <c r="C37" s="26" t="s">
        <v>40</v>
      </c>
      <c r="D37" s="16">
        <f>'Gen Univ Sum'!E45</f>
        <v>13902199</v>
      </c>
      <c r="E37" s="16">
        <v>0</v>
      </c>
      <c r="F37" s="16">
        <v>0</v>
      </c>
      <c r="G37" s="16">
        <f>'Okm '!E39</f>
        <v>954741</v>
      </c>
      <c r="H37" s="16">
        <v>0</v>
      </c>
      <c r="I37" s="16">
        <f>'OKC '!E38</f>
        <v>635760</v>
      </c>
      <c r="J37" s="16">
        <f>CHS!E42</f>
        <v>1112294</v>
      </c>
      <c r="K37" s="16">
        <f>'Tulsa '!E39</f>
        <v>1379180</v>
      </c>
      <c r="L37" s="16">
        <f t="shared" si="4"/>
        <v>17984174</v>
      </c>
      <c r="M37" s="55"/>
    </row>
    <row r="38" spans="1:13" s="54" customFormat="1" ht="14.25">
      <c r="C38" s="26" t="s">
        <v>41</v>
      </c>
      <c r="D38" s="16">
        <f>'Gen Univ Sum'!E46</f>
        <v>40177103</v>
      </c>
      <c r="E38" s="16">
        <v>0</v>
      </c>
      <c r="F38" s="16">
        <v>0</v>
      </c>
      <c r="G38" s="16">
        <f>'Okm '!E40</f>
        <v>2425417</v>
      </c>
      <c r="H38" s="16">
        <f>'Vet Med '!E43</f>
        <v>1509542</v>
      </c>
      <c r="I38" s="16">
        <f>'OKC '!E39</f>
        <v>1504791</v>
      </c>
      <c r="J38" s="16">
        <f>CHS!E43</f>
        <v>3032301</v>
      </c>
      <c r="K38" s="16">
        <f>'Tulsa '!E40</f>
        <v>881198</v>
      </c>
      <c r="L38" s="16">
        <f t="shared" si="4"/>
        <v>49530352</v>
      </c>
      <c r="M38" s="55"/>
    </row>
    <row r="39" spans="1:13" s="54" customFormat="1" ht="14.25">
      <c r="C39" s="26" t="s">
        <v>42</v>
      </c>
      <c r="D39" s="16">
        <f>'Gen Univ Sum'!E47</f>
        <v>17884048</v>
      </c>
      <c r="E39" s="16">
        <v>0</v>
      </c>
      <c r="F39" s="16">
        <v>0</v>
      </c>
      <c r="G39" s="16">
        <f>'Okm '!E41</f>
        <v>1745552</v>
      </c>
      <c r="H39" s="16">
        <f>'Vet Med '!E44</f>
        <v>119867</v>
      </c>
      <c r="I39" s="16">
        <f>'OKC '!E40</f>
        <v>1905526</v>
      </c>
      <c r="J39" s="16">
        <f>CHS!E44</f>
        <v>843943</v>
      </c>
      <c r="K39" s="16">
        <f>'Tulsa '!E41</f>
        <v>2034159</v>
      </c>
      <c r="L39" s="16">
        <f t="shared" si="4"/>
        <v>24533095</v>
      </c>
      <c r="M39" s="55"/>
    </row>
    <row r="40" spans="1:13" s="54" customFormat="1" ht="14.25">
      <c r="C40" s="26" t="s">
        <v>43</v>
      </c>
      <c r="D40" s="16">
        <f>'Gen Univ Sum'!E48</f>
        <v>16342323</v>
      </c>
      <c r="E40" s="16">
        <v>0</v>
      </c>
      <c r="F40" s="16">
        <v>0</v>
      </c>
      <c r="G40" s="16">
        <f>'Okm '!E42</f>
        <v>2661363</v>
      </c>
      <c r="H40" s="16">
        <f>'Vet Med '!E45</f>
        <v>637567</v>
      </c>
      <c r="I40" s="16">
        <f>'OKC '!E41</f>
        <v>2561403</v>
      </c>
      <c r="J40" s="16">
        <f>CHS!E45</f>
        <v>5093278</v>
      </c>
      <c r="K40" s="16">
        <f>'Tulsa '!E42</f>
        <v>2745710</v>
      </c>
      <c r="L40" s="16">
        <f t="shared" si="4"/>
        <v>30041644</v>
      </c>
      <c r="M40" s="55"/>
    </row>
    <row r="41" spans="1:13" s="54" customFormat="1" ht="14.25">
      <c r="C41" s="26" t="s">
        <v>44</v>
      </c>
      <c r="D41" s="16">
        <f>'Gen Univ Sum'!E49</f>
        <v>35235452</v>
      </c>
      <c r="E41" s="15">
        <v>0</v>
      </c>
      <c r="F41" s="15">
        <v>0</v>
      </c>
      <c r="G41" s="16">
        <f>'Okm '!E43</f>
        <v>4523017</v>
      </c>
      <c r="H41" s="16">
        <f>'Vet Med '!E46</f>
        <v>2878579</v>
      </c>
      <c r="I41" s="15">
        <f>'OKC '!E42</f>
        <v>3187428</v>
      </c>
      <c r="J41" s="15">
        <f>CHS!E46</f>
        <v>4465724</v>
      </c>
      <c r="K41" s="15">
        <f>'Tulsa '!E43</f>
        <v>3486087</v>
      </c>
      <c r="L41" s="16">
        <f t="shared" si="4"/>
        <v>53776287</v>
      </c>
      <c r="M41" s="55"/>
    </row>
    <row r="42" spans="1:13" s="54" customFormat="1" ht="14.25">
      <c r="C42" s="12" t="s">
        <v>45</v>
      </c>
      <c r="D42" s="19">
        <f>'Gen Univ Sum'!E50</f>
        <v>37353292</v>
      </c>
      <c r="E42" s="19">
        <v>0</v>
      </c>
      <c r="F42" s="19">
        <v>0</v>
      </c>
      <c r="G42" s="19">
        <f>'Okm '!E44</f>
        <v>1700000</v>
      </c>
      <c r="H42" s="19">
        <f>'Vet Med '!E47</f>
        <v>30000</v>
      </c>
      <c r="I42" s="19">
        <f>'OKC '!E43</f>
        <v>800000</v>
      </c>
      <c r="J42" s="19">
        <f>CHS!E47</f>
        <v>260000</v>
      </c>
      <c r="K42" s="19">
        <f>'Tulsa '!E44</f>
        <v>250000</v>
      </c>
      <c r="L42" s="19">
        <f t="shared" si="4"/>
        <v>40393292</v>
      </c>
      <c r="M42" s="55"/>
    </row>
    <row r="43" spans="1:13" s="20" customFormat="1" ht="15.75">
      <c r="C43" s="21" t="s">
        <v>31</v>
      </c>
      <c r="D43" s="140">
        <f t="shared" ref="D43:L43" si="5">SUM(D34:D42)</f>
        <v>327974049</v>
      </c>
      <c r="E43" s="140">
        <f t="shared" si="5"/>
        <v>43403912</v>
      </c>
      <c r="F43" s="140">
        <f t="shared" si="5"/>
        <v>51395271</v>
      </c>
      <c r="G43" s="140">
        <f t="shared" si="5"/>
        <v>26798417</v>
      </c>
      <c r="H43" s="140">
        <f t="shared" si="5"/>
        <v>26807697</v>
      </c>
      <c r="I43" s="140">
        <f t="shared" si="5"/>
        <v>24185000</v>
      </c>
      <c r="J43" s="140">
        <f t="shared" si="5"/>
        <v>56964556</v>
      </c>
      <c r="K43" s="140">
        <f t="shared" si="5"/>
        <v>23618221</v>
      </c>
      <c r="L43" s="140">
        <f t="shared" si="5"/>
        <v>581147123</v>
      </c>
      <c r="M43" s="138"/>
    </row>
    <row r="44" spans="1:13" s="54" customFormat="1" ht="14.25">
      <c r="C44" s="18"/>
      <c r="D44" s="15"/>
      <c r="E44" s="15"/>
      <c r="F44" s="15"/>
      <c r="G44" s="15"/>
      <c r="H44" s="15"/>
      <c r="I44" s="15"/>
      <c r="J44" s="15"/>
      <c r="K44" s="15"/>
      <c r="L44" s="15"/>
      <c r="M44" s="55"/>
    </row>
    <row r="45" spans="1:13" s="54" customFormat="1" ht="14.25">
      <c r="C45" s="12" t="s">
        <v>32</v>
      </c>
      <c r="D45" s="15">
        <f t="shared" ref="D45:K47" si="6">D27</f>
        <v>45000000</v>
      </c>
      <c r="E45" s="15">
        <f t="shared" si="6"/>
        <v>11000000</v>
      </c>
      <c r="F45" s="15">
        <f t="shared" si="6"/>
        <v>4066000</v>
      </c>
      <c r="G45" s="15">
        <f t="shared" si="6"/>
        <v>2769835</v>
      </c>
      <c r="H45" s="15">
        <f t="shared" si="6"/>
        <v>11000000</v>
      </c>
      <c r="I45" s="15">
        <f>I27</f>
        <v>3214595</v>
      </c>
      <c r="J45" s="15">
        <f t="shared" si="6"/>
        <v>11500000</v>
      </c>
      <c r="K45" s="15">
        <f t="shared" si="6"/>
        <v>60000</v>
      </c>
      <c r="L45" s="16">
        <f>SUM(D45:K45)</f>
        <v>88610430</v>
      </c>
      <c r="M45" s="55"/>
    </row>
    <row r="46" spans="1:13" s="54" customFormat="1" ht="14.25">
      <c r="C46" s="9" t="s">
        <v>33</v>
      </c>
      <c r="D46" s="15">
        <f t="shared" si="6"/>
        <v>156338230</v>
      </c>
      <c r="E46" s="15">
        <f t="shared" si="6"/>
        <v>769132</v>
      </c>
      <c r="F46" s="15">
        <f t="shared" si="6"/>
        <v>1050020</v>
      </c>
      <c r="G46" s="15">
        <f t="shared" si="6"/>
        <v>9501251</v>
      </c>
      <c r="H46" s="15">
        <f t="shared" si="6"/>
        <v>268000</v>
      </c>
      <c r="I46" s="15">
        <f>I28</f>
        <v>4606435</v>
      </c>
      <c r="J46" s="15">
        <f t="shared" si="6"/>
        <v>65246699</v>
      </c>
      <c r="K46" s="15">
        <f t="shared" si="6"/>
        <v>1877678</v>
      </c>
      <c r="L46" s="16">
        <f>SUM(D46:K46)</f>
        <v>239657445</v>
      </c>
      <c r="M46" s="55"/>
    </row>
    <row r="47" spans="1:13" s="54" customFormat="1" ht="14.25">
      <c r="C47" s="9" t="s">
        <v>34</v>
      </c>
      <c r="D47" s="15">
        <f t="shared" si="6"/>
        <v>41000000</v>
      </c>
      <c r="E47" s="15">
        <f t="shared" si="6"/>
        <v>0</v>
      </c>
      <c r="F47" s="15">
        <f t="shared" si="6"/>
        <v>0</v>
      </c>
      <c r="G47" s="15">
        <f t="shared" si="6"/>
        <v>6400000</v>
      </c>
      <c r="H47" s="15">
        <f t="shared" si="6"/>
        <v>0</v>
      </c>
      <c r="I47" s="15">
        <f t="shared" si="6"/>
        <v>7400000</v>
      </c>
      <c r="J47" s="15">
        <f t="shared" si="6"/>
        <v>0</v>
      </c>
      <c r="K47" s="15">
        <f t="shared" si="6"/>
        <v>0</v>
      </c>
      <c r="L47" s="16">
        <f>SUM(D47:K47)</f>
        <v>54800000</v>
      </c>
      <c r="M47" s="55"/>
    </row>
    <row r="48" spans="1:13" s="20" customFormat="1" ht="16.5" thickBot="1">
      <c r="C48" s="20" t="s">
        <v>46</v>
      </c>
      <c r="D48" s="139">
        <f t="shared" ref="D48:L48" si="7">SUM(D43:D47)</f>
        <v>570312279</v>
      </c>
      <c r="E48" s="139">
        <f t="shared" si="7"/>
        <v>55173044</v>
      </c>
      <c r="F48" s="139">
        <f t="shared" si="7"/>
        <v>56511291</v>
      </c>
      <c r="G48" s="139">
        <f t="shared" si="7"/>
        <v>45469503</v>
      </c>
      <c r="H48" s="139">
        <f t="shared" si="7"/>
        <v>38075697</v>
      </c>
      <c r="I48" s="139">
        <f t="shared" si="7"/>
        <v>39406030</v>
      </c>
      <c r="J48" s="139">
        <f t="shared" si="7"/>
        <v>133711255</v>
      </c>
      <c r="K48" s="139">
        <f t="shared" si="7"/>
        <v>25555899</v>
      </c>
      <c r="L48" s="139">
        <f t="shared" si="7"/>
        <v>964214998</v>
      </c>
      <c r="M48" s="138"/>
    </row>
    <row r="49" spans="3:13" s="54" customFormat="1" ht="15" thickTop="1">
      <c r="C49" s="9"/>
      <c r="D49" s="16"/>
      <c r="E49" s="16"/>
      <c r="F49" s="16"/>
      <c r="G49" s="16"/>
      <c r="H49" s="16"/>
      <c r="I49" s="16"/>
      <c r="J49" s="16"/>
      <c r="K49" s="16"/>
      <c r="L49" s="16"/>
      <c r="M49" s="55"/>
    </row>
    <row r="50" spans="3:13" ht="14.25">
      <c r="C50" s="9"/>
      <c r="D50" s="16"/>
      <c r="E50" s="16"/>
      <c r="F50" s="16"/>
      <c r="G50" s="16"/>
      <c r="H50" s="16"/>
      <c r="I50" s="16"/>
      <c r="J50" s="16"/>
      <c r="K50" s="16"/>
      <c r="L50" s="16"/>
      <c r="M50" s="13"/>
    </row>
    <row r="51" spans="3:13" ht="14.25">
      <c r="C51" s="9"/>
      <c r="D51" s="16">
        <f t="shared" ref="D51:L51" si="8">D30-D48</f>
        <v>0</v>
      </c>
      <c r="E51" s="16">
        <f>E30-E48</f>
        <v>0</v>
      </c>
      <c r="F51" s="16">
        <f t="shared" si="8"/>
        <v>0</v>
      </c>
      <c r="G51" s="16">
        <f t="shared" si="8"/>
        <v>0</v>
      </c>
      <c r="H51" s="16">
        <f>H30-H48</f>
        <v>0</v>
      </c>
      <c r="I51" s="16">
        <f t="shared" si="8"/>
        <v>0</v>
      </c>
      <c r="J51" s="16">
        <f t="shared" si="8"/>
        <v>0</v>
      </c>
      <c r="K51" s="16">
        <f t="shared" si="8"/>
        <v>0</v>
      </c>
      <c r="L51" s="16">
        <f t="shared" si="8"/>
        <v>0</v>
      </c>
      <c r="M51" s="13"/>
    </row>
    <row r="52" spans="3:13" ht="14.25">
      <c r="C52" s="9"/>
      <c r="D52" s="16"/>
      <c r="E52" s="16"/>
      <c r="F52" s="16"/>
      <c r="G52" s="16"/>
      <c r="H52" s="16"/>
      <c r="I52" s="16"/>
      <c r="J52" s="16"/>
      <c r="K52" s="16"/>
      <c r="L52" s="16"/>
      <c r="M52" s="13"/>
    </row>
    <row r="53" spans="3:13">
      <c r="D53" s="141"/>
      <c r="E53" s="141"/>
      <c r="F53" s="141"/>
      <c r="G53" s="141"/>
      <c r="H53" s="141"/>
      <c r="I53" s="141"/>
      <c r="J53" s="141"/>
      <c r="K53" s="141"/>
      <c r="L53" s="141"/>
      <c r="M53" s="13"/>
    </row>
    <row r="54" spans="3:13">
      <c r="D54" s="141"/>
      <c r="E54" s="141"/>
      <c r="F54" s="141"/>
      <c r="G54" s="141"/>
      <c r="H54" s="141"/>
      <c r="I54" s="141"/>
      <c r="J54" s="141"/>
      <c r="K54" s="141"/>
      <c r="L54" s="141"/>
      <c r="M54" s="13"/>
    </row>
    <row r="55" spans="3:13">
      <c r="D55" s="141"/>
      <c r="E55" s="141"/>
      <c r="F55" s="141"/>
      <c r="G55" s="141"/>
      <c r="H55" s="141"/>
      <c r="I55" s="141"/>
      <c r="J55" s="141"/>
      <c r="K55" s="141"/>
      <c r="L55" s="141"/>
      <c r="M55" s="13"/>
    </row>
    <row r="56" spans="3:13">
      <c r="D56" s="141"/>
      <c r="E56" s="141"/>
      <c r="F56" s="141"/>
      <c r="G56" s="141"/>
      <c r="H56" s="141"/>
      <c r="I56" s="141"/>
      <c r="J56" s="141"/>
      <c r="K56" s="141"/>
      <c r="L56" s="141"/>
      <c r="M56" s="13"/>
    </row>
    <row r="57" spans="3:13">
      <c r="D57" s="141"/>
      <c r="E57" s="141"/>
      <c r="F57" s="141"/>
      <c r="G57" s="141"/>
      <c r="H57" s="141"/>
      <c r="I57" s="141"/>
      <c r="J57" s="141"/>
      <c r="K57" s="141"/>
      <c r="L57" s="141"/>
      <c r="M57" s="13"/>
    </row>
    <row r="58" spans="3:13">
      <c r="D58" s="141"/>
      <c r="E58" s="141"/>
      <c r="F58" s="141"/>
      <c r="G58" s="141"/>
      <c r="H58" s="141"/>
      <c r="I58" s="141"/>
      <c r="J58" s="141"/>
      <c r="K58" s="141"/>
      <c r="L58" s="141"/>
      <c r="M58" s="13"/>
    </row>
    <row r="59" spans="3:13">
      <c r="D59" s="141"/>
      <c r="E59" s="141"/>
      <c r="F59" s="141"/>
      <c r="G59" s="141"/>
      <c r="H59" s="141"/>
      <c r="I59" s="141"/>
      <c r="J59" s="141"/>
      <c r="K59" s="141"/>
      <c r="L59" s="141"/>
      <c r="M59" s="13"/>
    </row>
    <row r="60" spans="3:13">
      <c r="D60" s="141"/>
      <c r="E60" s="141"/>
      <c r="F60" s="141"/>
      <c r="G60" s="141"/>
      <c r="H60" s="141"/>
      <c r="I60" s="141"/>
      <c r="J60" s="141"/>
      <c r="K60" s="141"/>
      <c r="L60" s="141"/>
      <c r="M60" s="13"/>
    </row>
    <row r="61" spans="3:13">
      <c r="D61" s="141"/>
      <c r="E61" s="141"/>
      <c r="F61" s="141"/>
      <c r="G61" s="141"/>
      <c r="H61" s="141"/>
      <c r="I61" s="141"/>
      <c r="J61" s="141"/>
      <c r="K61" s="141"/>
      <c r="L61" s="141"/>
      <c r="M61" s="13"/>
    </row>
    <row r="62" spans="3:13">
      <c r="D62" s="141"/>
      <c r="E62" s="141"/>
      <c r="F62" s="141"/>
      <c r="G62" s="141"/>
      <c r="H62" s="141"/>
      <c r="I62" s="141"/>
      <c r="J62" s="141"/>
      <c r="K62" s="141"/>
      <c r="L62" s="141"/>
      <c r="M62" s="13"/>
    </row>
    <row r="63" spans="3:13">
      <c r="D63" s="141"/>
      <c r="E63" s="141"/>
      <c r="F63" s="141"/>
      <c r="G63" s="141"/>
      <c r="H63" s="141"/>
      <c r="I63" s="141"/>
      <c r="J63" s="141"/>
      <c r="K63" s="141"/>
      <c r="L63" s="141"/>
      <c r="M63" s="13"/>
    </row>
    <row r="64" spans="3:13">
      <c r="D64" s="141"/>
      <c r="E64" s="141"/>
      <c r="F64" s="141"/>
      <c r="G64" s="141"/>
      <c r="H64" s="141"/>
      <c r="I64" s="141"/>
      <c r="J64" s="141"/>
      <c r="K64" s="141"/>
      <c r="L64" s="141"/>
      <c r="M64" s="13"/>
    </row>
    <row r="65" spans="4:13">
      <c r="D65" s="141"/>
      <c r="E65" s="141"/>
      <c r="F65" s="141"/>
      <c r="G65" s="141"/>
      <c r="H65" s="141"/>
      <c r="I65" s="141"/>
      <c r="J65" s="141"/>
      <c r="K65" s="141"/>
      <c r="L65" s="141"/>
      <c r="M65" s="13"/>
    </row>
    <row r="66" spans="4:13">
      <c r="D66" s="144"/>
      <c r="E66" s="141"/>
      <c r="F66" s="141"/>
      <c r="G66" s="141"/>
      <c r="H66" s="141"/>
      <c r="I66" s="141"/>
      <c r="J66" s="141"/>
      <c r="K66" s="141"/>
      <c r="L66" s="141"/>
      <c r="M66" s="13"/>
    </row>
    <row r="67" spans="4:13">
      <c r="D67" s="141"/>
      <c r="E67" s="141"/>
      <c r="F67" s="141"/>
      <c r="G67" s="141"/>
      <c r="H67" s="141"/>
      <c r="I67" s="141"/>
      <c r="J67" s="141"/>
      <c r="K67" s="141"/>
      <c r="L67" s="141"/>
      <c r="M67" s="13"/>
    </row>
    <row r="68" spans="4:13">
      <c r="D68" s="141"/>
      <c r="E68" s="141"/>
      <c r="F68" s="141"/>
      <c r="G68" s="141"/>
      <c r="H68" s="141"/>
      <c r="I68" s="141"/>
      <c r="J68" s="141"/>
      <c r="K68" s="141"/>
      <c r="L68" s="141"/>
      <c r="M68" s="13"/>
    </row>
    <row r="69" spans="4:13">
      <c r="D69" s="141"/>
      <c r="E69" s="141"/>
      <c r="F69" s="141"/>
      <c r="G69" s="141"/>
      <c r="H69" s="141"/>
      <c r="I69" s="141"/>
      <c r="J69" s="141"/>
      <c r="K69" s="141"/>
      <c r="L69" s="141"/>
      <c r="M69" s="13"/>
    </row>
    <row r="70" spans="4:13">
      <c r="D70" s="141"/>
      <c r="E70" s="141"/>
      <c r="F70" s="141"/>
      <c r="G70" s="141"/>
      <c r="H70" s="141"/>
      <c r="I70" s="141"/>
      <c r="J70" s="141"/>
      <c r="K70" s="141"/>
      <c r="L70" s="141"/>
      <c r="M70" s="13"/>
    </row>
    <row r="71" spans="4:13">
      <c r="D71" s="141"/>
      <c r="E71" s="141"/>
      <c r="F71" s="141"/>
      <c r="G71" s="141"/>
      <c r="H71" s="141"/>
      <c r="I71" s="141"/>
      <c r="J71" s="141"/>
      <c r="K71" s="141"/>
      <c r="L71" s="141"/>
      <c r="M71" s="13"/>
    </row>
    <row r="72" spans="4:13">
      <c r="D72" s="141"/>
      <c r="E72" s="141"/>
      <c r="F72" s="141"/>
      <c r="G72" s="141"/>
      <c r="H72" s="141"/>
      <c r="I72" s="141"/>
      <c r="J72" s="141"/>
      <c r="K72" s="141"/>
      <c r="L72" s="141"/>
      <c r="M72" s="13"/>
    </row>
    <row r="73" spans="4:13">
      <c r="D73" s="141"/>
      <c r="E73" s="141"/>
      <c r="F73" s="141"/>
      <c r="G73" s="141"/>
      <c r="H73" s="141"/>
      <c r="I73" s="141"/>
      <c r="J73" s="141"/>
      <c r="K73" s="141"/>
      <c r="L73" s="141"/>
      <c r="M73" s="13"/>
    </row>
    <row r="74" spans="4:13">
      <c r="D74" s="141"/>
      <c r="E74" s="141"/>
      <c r="F74" s="141"/>
      <c r="G74" s="141"/>
      <c r="H74" s="141"/>
      <c r="I74" s="141"/>
      <c r="J74" s="141"/>
      <c r="K74" s="141"/>
      <c r="L74" s="141"/>
      <c r="M74" s="13"/>
    </row>
    <row r="75" spans="4:13">
      <c r="D75" s="141"/>
      <c r="E75" s="141"/>
      <c r="F75" s="141"/>
      <c r="G75" s="141"/>
      <c r="H75" s="141"/>
      <c r="I75" s="141"/>
      <c r="J75" s="141"/>
      <c r="K75" s="141"/>
      <c r="L75" s="141"/>
      <c r="M75" s="13"/>
    </row>
    <row r="76" spans="4:13">
      <c r="D76" s="141"/>
      <c r="E76" s="141"/>
      <c r="F76" s="141"/>
      <c r="G76" s="141"/>
      <c r="H76" s="141"/>
      <c r="I76" s="141"/>
      <c r="J76" s="141"/>
      <c r="K76" s="141"/>
      <c r="L76" s="141"/>
      <c r="M76" s="13"/>
    </row>
    <row r="77" spans="4:13">
      <c r="D77" s="141"/>
      <c r="E77" s="141"/>
      <c r="F77" s="141"/>
      <c r="G77" s="141"/>
      <c r="H77" s="141"/>
      <c r="I77" s="141"/>
      <c r="J77" s="141"/>
      <c r="K77" s="141"/>
      <c r="L77" s="141"/>
      <c r="M77" s="13"/>
    </row>
    <row r="78" spans="4:13">
      <c r="D78" s="141"/>
      <c r="E78" s="141"/>
      <c r="F78" s="141"/>
      <c r="G78" s="141"/>
      <c r="H78" s="141"/>
      <c r="I78" s="141"/>
      <c r="J78" s="141"/>
      <c r="K78" s="141"/>
      <c r="L78" s="141"/>
      <c r="M78" s="13"/>
    </row>
    <row r="79" spans="4:13">
      <c r="D79" s="141"/>
      <c r="E79" s="141"/>
      <c r="F79" s="141"/>
      <c r="G79" s="141"/>
      <c r="H79" s="141"/>
      <c r="I79" s="141"/>
      <c r="J79" s="141"/>
      <c r="K79" s="141"/>
      <c r="L79" s="141"/>
      <c r="M79" s="13"/>
    </row>
  </sheetData>
  <mergeCells count="3">
    <mergeCell ref="C2:M2"/>
    <mergeCell ref="C3:M3"/>
    <mergeCell ref="C4:M4"/>
  </mergeCells>
  <phoneticPr fontId="0" type="noConversion"/>
  <printOptions horizontalCentered="1"/>
  <pageMargins left="0.22" right="0.27" top="0.73" bottom="0.56000000000000005" header="0.34" footer="0.21"/>
  <pageSetup scale="64" orientation="landscape" horizontalDpi="300" verticalDpi="300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showGridLines="0" zoomScale="85" workbookViewId="0">
      <selection activeCell="I52" sqref="I52"/>
    </sheetView>
  </sheetViews>
  <sheetFormatPr defaultRowHeight="15"/>
  <cols>
    <col min="1" max="1" width="54.85546875" style="62" customWidth="1"/>
    <col min="2" max="2" width="8.7109375" style="62" customWidth="1"/>
    <col min="3" max="3" width="20.7109375" style="69" customWidth="1"/>
    <col min="4" max="4" width="9.140625" style="69"/>
    <col min="5" max="5" width="20.85546875" style="69" customWidth="1"/>
    <col min="6" max="6" width="9.140625" style="69"/>
    <col min="7" max="7" width="16" style="69" hidden="1" customWidth="1"/>
    <col min="8" max="8" width="0" style="62" hidden="1" customWidth="1"/>
    <col min="9" max="9" width="16.7109375" style="70" customWidth="1"/>
    <col min="10" max="10" width="10.85546875" style="62" customWidth="1"/>
    <col min="11" max="16384" width="9.140625" style="62"/>
  </cols>
  <sheetData>
    <row r="1" spans="1:9" ht="90" customHeight="1">
      <c r="A1" s="58"/>
      <c r="B1" s="59"/>
      <c r="C1" s="60"/>
      <c r="D1" s="60"/>
      <c r="E1" s="60"/>
      <c r="F1" s="60"/>
      <c r="G1" s="60"/>
      <c r="H1" s="59"/>
      <c r="I1" s="61"/>
    </row>
    <row r="2" spans="1:9" s="63" customFormat="1" ht="15.75">
      <c r="C2" s="64"/>
      <c r="D2" s="64"/>
      <c r="E2" s="64"/>
      <c r="F2" s="64"/>
      <c r="G2" s="65" t="s">
        <v>47</v>
      </c>
      <c r="I2" s="66" t="s">
        <v>124</v>
      </c>
    </row>
    <row r="3" spans="1:9" s="63" customFormat="1" ht="15.75">
      <c r="C3" s="65" t="s">
        <v>130</v>
      </c>
      <c r="D3" s="64"/>
      <c r="E3" s="65" t="s">
        <v>134</v>
      </c>
      <c r="F3" s="64"/>
      <c r="G3" s="65" t="s">
        <v>49</v>
      </c>
      <c r="I3" s="66" t="s">
        <v>49</v>
      </c>
    </row>
    <row r="4" spans="1:9" s="63" customFormat="1" ht="15.75">
      <c r="C4" s="67" t="s">
        <v>48</v>
      </c>
      <c r="D4" s="64"/>
      <c r="E4" s="67" t="s">
        <v>48</v>
      </c>
      <c r="F4" s="64"/>
      <c r="G4" s="67" t="s">
        <v>50</v>
      </c>
      <c r="I4" s="68" t="s">
        <v>50</v>
      </c>
    </row>
    <row r="5" spans="1:9">
      <c r="A5" s="62" t="s">
        <v>51</v>
      </c>
    </row>
    <row r="6" spans="1:9" ht="6.75" customHeight="1"/>
    <row r="7" spans="1:9">
      <c r="A7" s="62" t="s">
        <v>52</v>
      </c>
      <c r="C7" s="86">
        <v>129702110</v>
      </c>
      <c r="D7" s="86"/>
      <c r="E7" s="86">
        <v>123808252</v>
      </c>
      <c r="G7" s="69">
        <f t="shared" ref="G7:G14" si="0">E7-C7</f>
        <v>-5893858</v>
      </c>
      <c r="I7" s="70">
        <f t="shared" ref="I7:I14" si="1">(E7-C7)/C7</f>
        <v>-4.5441496672644723E-2</v>
      </c>
    </row>
    <row r="8" spans="1:9">
      <c r="A8" s="143" t="s">
        <v>131</v>
      </c>
      <c r="C8" s="71">
        <v>918805</v>
      </c>
      <c r="D8" s="86"/>
      <c r="E8" s="71">
        <v>956979</v>
      </c>
      <c r="I8" s="70">
        <f t="shared" si="1"/>
        <v>4.1547444778815959E-2</v>
      </c>
    </row>
    <row r="9" spans="1:9">
      <c r="A9" s="62" t="s">
        <v>53</v>
      </c>
      <c r="C9" s="71">
        <v>152871688</v>
      </c>
      <c r="E9" s="71">
        <f>49436406+58086905+47546987</f>
        <v>155070298</v>
      </c>
      <c r="G9" s="69">
        <f t="shared" si="0"/>
        <v>2198610</v>
      </c>
      <c r="I9" s="70">
        <f t="shared" si="1"/>
        <v>1.4382061379475316E-2</v>
      </c>
    </row>
    <row r="10" spans="1:9">
      <c r="A10" s="62" t="s">
        <v>54</v>
      </c>
      <c r="C10" s="69">
        <v>23088131</v>
      </c>
      <c r="E10" s="69">
        <f>7545456+17201819</f>
        <v>24747275</v>
      </c>
      <c r="G10" s="69">
        <f t="shared" si="0"/>
        <v>1659144</v>
      </c>
      <c r="I10" s="70">
        <f t="shared" si="1"/>
        <v>7.1861338624594609E-2</v>
      </c>
    </row>
    <row r="11" spans="1:9">
      <c r="A11" s="62" t="s">
        <v>55</v>
      </c>
      <c r="C11" s="69">
        <v>282523</v>
      </c>
      <c r="E11" s="69">
        <v>252606</v>
      </c>
      <c r="G11" s="69">
        <f t="shared" si="0"/>
        <v>-29917</v>
      </c>
      <c r="I11" s="70">
        <f t="shared" si="1"/>
        <v>-0.1058922636387126</v>
      </c>
    </row>
    <row r="12" spans="1:9">
      <c r="A12" s="62" t="s">
        <v>56</v>
      </c>
      <c r="C12" s="69">
        <v>4189150</v>
      </c>
      <c r="E12" s="69">
        <v>4245250</v>
      </c>
      <c r="G12" s="69">
        <f t="shared" si="0"/>
        <v>56100</v>
      </c>
      <c r="I12" s="70">
        <f t="shared" si="1"/>
        <v>1.3391738180776529E-2</v>
      </c>
    </row>
    <row r="13" spans="1:9">
      <c r="A13" s="62" t="s">
        <v>57</v>
      </c>
      <c r="C13" s="69">
        <v>1588351</v>
      </c>
      <c r="E13" s="69">
        <v>1852846</v>
      </c>
      <c r="G13" s="69">
        <f t="shared" si="0"/>
        <v>264495</v>
      </c>
      <c r="I13" s="70">
        <f t="shared" si="1"/>
        <v>0.16652175747048353</v>
      </c>
    </row>
    <row r="14" spans="1:9">
      <c r="A14" s="62" t="s">
        <v>58</v>
      </c>
      <c r="C14" s="81">
        <v>6470282</v>
      </c>
      <c r="D14" s="74"/>
      <c r="E14" s="81">
        <f>9037558-E13</f>
        <v>7184712</v>
      </c>
      <c r="G14" s="69">
        <f t="shared" si="0"/>
        <v>714430</v>
      </c>
      <c r="I14" s="70">
        <f t="shared" si="1"/>
        <v>0.11041713483276308</v>
      </c>
    </row>
    <row r="15" spans="1:9">
      <c r="A15" s="90" t="s">
        <v>137</v>
      </c>
      <c r="C15" s="81">
        <v>0</v>
      </c>
      <c r="D15" s="74"/>
      <c r="E15" s="81">
        <v>9855831</v>
      </c>
      <c r="I15" s="70">
        <v>1</v>
      </c>
    </row>
    <row r="16" spans="1:9" ht="6" customHeight="1">
      <c r="C16" s="81"/>
      <c r="E16" s="81"/>
    </row>
    <row r="17" spans="1:10">
      <c r="A17" s="62" t="s">
        <v>29</v>
      </c>
      <c r="C17" s="89">
        <f>SUM(C7:C15)</f>
        <v>319111040</v>
      </c>
      <c r="D17" s="86"/>
      <c r="E17" s="89">
        <f>SUM(E7:E15)</f>
        <v>327974049</v>
      </c>
      <c r="G17" s="72">
        <f>SUM(G7:G14)</f>
        <v>-1030996</v>
      </c>
      <c r="I17" s="73">
        <f>(E17-C17)/C17</f>
        <v>2.7774059462185953E-2</v>
      </c>
    </row>
    <row r="18" spans="1:10">
      <c r="C18" s="74"/>
      <c r="E18" s="74"/>
      <c r="G18" s="74"/>
      <c r="I18" s="75"/>
    </row>
    <row r="19" spans="1:10">
      <c r="A19" s="62" t="s">
        <v>30</v>
      </c>
      <c r="C19" s="74">
        <v>0</v>
      </c>
      <c r="E19" s="74">
        <v>0</v>
      </c>
      <c r="G19" s="69">
        <f>E19-C19</f>
        <v>0</v>
      </c>
      <c r="I19" s="70">
        <v>0</v>
      </c>
    </row>
    <row r="21" spans="1:10" s="82" customFormat="1" ht="18.75" thickBot="1">
      <c r="A21" s="82" t="s">
        <v>35</v>
      </c>
      <c r="C21" s="87">
        <f>C17+C19</f>
        <v>319111040</v>
      </c>
      <c r="D21" s="88"/>
      <c r="E21" s="87">
        <f>E17+E19</f>
        <v>327974049</v>
      </c>
      <c r="F21" s="83"/>
      <c r="G21" s="84">
        <f>G17+G19</f>
        <v>-1030996</v>
      </c>
      <c r="I21" s="85">
        <f>(E21-C21)/C21</f>
        <v>2.7774059462185953E-2</v>
      </c>
    </row>
    <row r="22" spans="1:10" ht="15.75" thickTop="1"/>
    <row r="23" spans="1:10" hidden="1">
      <c r="A23" s="62" t="s">
        <v>59</v>
      </c>
    </row>
    <row r="24" spans="1:10" hidden="1">
      <c r="A24" s="62" t="s">
        <v>60</v>
      </c>
      <c r="C24" s="69">
        <v>65539450</v>
      </c>
      <c r="E24" s="69">
        <v>65539450</v>
      </c>
      <c r="G24" s="69">
        <f t="shared" ref="G24:G37" si="2">E24-C24</f>
        <v>0</v>
      </c>
      <c r="I24" s="70">
        <f t="shared" ref="I24:I38" si="3">G24/C24</f>
        <v>0</v>
      </c>
    </row>
    <row r="25" spans="1:10" hidden="1">
      <c r="A25" s="62" t="s">
        <v>61</v>
      </c>
      <c r="C25" s="69">
        <v>45691509</v>
      </c>
      <c r="E25" s="69">
        <v>45691509</v>
      </c>
      <c r="G25" s="69">
        <f t="shared" si="2"/>
        <v>0</v>
      </c>
      <c r="I25" s="70">
        <f t="shared" si="3"/>
        <v>0</v>
      </c>
    </row>
    <row r="26" spans="1:10" hidden="1">
      <c r="A26" s="62" t="s">
        <v>62</v>
      </c>
      <c r="C26" s="69">
        <v>17774094</v>
      </c>
      <c r="E26" s="69">
        <v>17774094</v>
      </c>
      <c r="G26" s="69">
        <f t="shared" si="2"/>
        <v>0</v>
      </c>
      <c r="I26" s="70">
        <f t="shared" si="3"/>
        <v>0</v>
      </c>
    </row>
    <row r="27" spans="1:10" hidden="1">
      <c r="A27" s="62" t="s">
        <v>63</v>
      </c>
      <c r="C27" s="69">
        <v>36517887</v>
      </c>
      <c r="E27" s="69">
        <v>36517887</v>
      </c>
      <c r="G27" s="69">
        <f t="shared" si="2"/>
        <v>0</v>
      </c>
      <c r="I27" s="70">
        <f t="shared" si="3"/>
        <v>0</v>
      </c>
    </row>
    <row r="28" spans="1:10" hidden="1">
      <c r="A28" s="62" t="s">
        <v>64</v>
      </c>
      <c r="C28" s="69">
        <v>301684</v>
      </c>
      <c r="E28" s="69">
        <v>301684</v>
      </c>
      <c r="G28" s="69">
        <f t="shared" si="2"/>
        <v>0</v>
      </c>
      <c r="I28" s="70">
        <f t="shared" si="3"/>
        <v>0</v>
      </c>
    </row>
    <row r="29" spans="1:10" hidden="1">
      <c r="A29" s="62" t="s">
        <v>65</v>
      </c>
      <c r="C29" s="69">
        <f>29466132-C33-C36-C37</f>
        <v>11900262</v>
      </c>
      <c r="E29" s="69">
        <f>29466132-E33-E36-E37</f>
        <v>11900262</v>
      </c>
      <c r="G29" s="69">
        <f t="shared" si="2"/>
        <v>0</v>
      </c>
      <c r="I29" s="70">
        <f t="shared" si="3"/>
        <v>0</v>
      </c>
    </row>
    <row r="30" spans="1:10" hidden="1">
      <c r="A30" s="62" t="s">
        <v>66</v>
      </c>
      <c r="C30" s="69">
        <v>11376742</v>
      </c>
      <c r="E30" s="69">
        <v>11376742</v>
      </c>
      <c r="G30" s="69">
        <f t="shared" si="2"/>
        <v>0</v>
      </c>
      <c r="I30" s="70">
        <f t="shared" si="3"/>
        <v>0</v>
      </c>
    </row>
    <row r="31" spans="1:10" hidden="1">
      <c r="A31" s="62" t="s">
        <v>67</v>
      </c>
      <c r="C31" s="69">
        <v>5838821</v>
      </c>
      <c r="E31" s="69">
        <v>5838821</v>
      </c>
      <c r="G31" s="69">
        <f t="shared" si="2"/>
        <v>0</v>
      </c>
      <c r="I31" s="70">
        <f t="shared" si="3"/>
        <v>0</v>
      </c>
    </row>
    <row r="32" spans="1:10" hidden="1">
      <c r="A32" s="62" t="s">
        <v>68</v>
      </c>
      <c r="C32" s="69">
        <v>2078787</v>
      </c>
      <c r="E32" s="69">
        <v>2078787</v>
      </c>
      <c r="G32" s="69">
        <f t="shared" si="2"/>
        <v>0</v>
      </c>
      <c r="I32" s="70">
        <f t="shared" si="3"/>
        <v>0</v>
      </c>
      <c r="J32" s="78"/>
    </row>
    <row r="33" spans="1:10" hidden="1">
      <c r="A33" s="62" t="s">
        <v>69</v>
      </c>
      <c r="C33" s="69">
        <v>1623641</v>
      </c>
      <c r="E33" s="69">
        <v>1623641</v>
      </c>
      <c r="G33" s="69">
        <f t="shared" si="2"/>
        <v>0</v>
      </c>
      <c r="I33" s="70">
        <f t="shared" si="3"/>
        <v>0</v>
      </c>
    </row>
    <row r="34" spans="1:10" hidden="1">
      <c r="A34" s="62" t="s">
        <v>70</v>
      </c>
      <c r="C34" s="69">
        <v>11527260</v>
      </c>
      <c r="E34" s="69">
        <v>11527260</v>
      </c>
      <c r="G34" s="69">
        <f t="shared" si="2"/>
        <v>0</v>
      </c>
      <c r="I34" s="70">
        <f t="shared" si="3"/>
        <v>0</v>
      </c>
    </row>
    <row r="35" spans="1:10" hidden="1">
      <c r="A35" s="62" t="s">
        <v>71</v>
      </c>
      <c r="C35" s="69">
        <v>26124433</v>
      </c>
      <c r="E35" s="69">
        <v>26124433</v>
      </c>
      <c r="G35" s="69">
        <f t="shared" si="2"/>
        <v>0</v>
      </c>
      <c r="I35" s="70">
        <f t="shared" si="3"/>
        <v>0</v>
      </c>
    </row>
    <row r="36" spans="1:10" hidden="1">
      <c r="A36" s="62" t="s">
        <v>72</v>
      </c>
      <c r="C36" s="69">
        <v>11738960</v>
      </c>
      <c r="E36" s="69">
        <v>11738960</v>
      </c>
      <c r="G36" s="69">
        <f t="shared" si="2"/>
        <v>0</v>
      </c>
      <c r="I36" s="70">
        <f t="shared" si="3"/>
        <v>0</v>
      </c>
      <c r="J36" s="79"/>
    </row>
    <row r="37" spans="1:10" hidden="1">
      <c r="A37" s="62" t="s">
        <v>73</v>
      </c>
      <c r="C37" s="69">
        <v>4203269</v>
      </c>
      <c r="E37" s="69">
        <v>4203269</v>
      </c>
      <c r="G37" s="69">
        <f t="shared" si="2"/>
        <v>0</v>
      </c>
      <c r="I37" s="70">
        <f t="shared" si="3"/>
        <v>0</v>
      </c>
    </row>
    <row r="38" spans="1:10" ht="15.75" hidden="1" thickBot="1">
      <c r="A38" s="62" t="s">
        <v>74</v>
      </c>
      <c r="C38" s="76">
        <f>SUM(C24:C37)</f>
        <v>252236799</v>
      </c>
      <c r="E38" s="76">
        <f>SUM(E24:E37)</f>
        <v>252236799</v>
      </c>
      <c r="G38" s="76">
        <f>SUM(G24:G37)</f>
        <v>0</v>
      </c>
      <c r="I38" s="77">
        <f t="shared" si="3"/>
        <v>0</v>
      </c>
    </row>
    <row r="40" spans="1:10">
      <c r="A40" s="62" t="s">
        <v>123</v>
      </c>
    </row>
    <row r="41" spans="1:10" ht="6" customHeight="1"/>
    <row r="42" spans="1:10">
      <c r="A42" s="62" t="s">
        <v>75</v>
      </c>
      <c r="C42" s="86">
        <v>133417907</v>
      </c>
      <c r="D42" s="86"/>
      <c r="E42" s="86">
        <v>131289699</v>
      </c>
      <c r="G42" s="69">
        <f t="shared" ref="G42:G50" si="4">E42-C42</f>
        <v>-2128208</v>
      </c>
      <c r="I42" s="70">
        <f t="shared" ref="I42:I52" si="5">(E42-C42)/C42</f>
        <v>-1.5951441960485858E-2</v>
      </c>
    </row>
    <row r="43" spans="1:10">
      <c r="A43" s="62" t="s">
        <v>76</v>
      </c>
      <c r="C43" s="80">
        <v>24451657</v>
      </c>
      <c r="E43" s="80">
        <v>31187730</v>
      </c>
      <c r="G43" s="69">
        <f t="shared" si="4"/>
        <v>6736073</v>
      </c>
      <c r="I43" s="70">
        <f t="shared" si="5"/>
        <v>0.27548533827380289</v>
      </c>
    </row>
    <row r="44" spans="1:10">
      <c r="A44" s="62" t="s">
        <v>77</v>
      </c>
      <c r="C44" s="80">
        <v>4241946</v>
      </c>
      <c r="E44" s="80">
        <v>4602203</v>
      </c>
      <c r="G44" s="69">
        <f t="shared" si="4"/>
        <v>360257</v>
      </c>
      <c r="I44" s="70">
        <f t="shared" si="5"/>
        <v>8.4927295161230251E-2</v>
      </c>
    </row>
    <row r="45" spans="1:10">
      <c r="A45" s="62" t="s">
        <v>78</v>
      </c>
      <c r="C45" s="80">
        <v>14211187</v>
      </c>
      <c r="E45" s="80">
        <v>13902199</v>
      </c>
      <c r="G45" s="69">
        <f t="shared" si="4"/>
        <v>-308988</v>
      </c>
      <c r="I45" s="70">
        <f t="shared" si="5"/>
        <v>-2.1742589130661641E-2</v>
      </c>
    </row>
    <row r="46" spans="1:10">
      <c r="A46" s="62" t="s">
        <v>79</v>
      </c>
      <c r="C46" s="80">
        <f>53299665-C45</f>
        <v>39088478</v>
      </c>
      <c r="E46" s="80">
        <f>54079302-E45</f>
        <v>40177103</v>
      </c>
      <c r="G46" s="69">
        <f t="shared" si="4"/>
        <v>1088625</v>
      </c>
      <c r="I46" s="70">
        <f t="shared" si="5"/>
        <v>2.785027853988073E-2</v>
      </c>
    </row>
    <row r="47" spans="1:10">
      <c r="A47" s="62" t="s">
        <v>80</v>
      </c>
      <c r="C47" s="80">
        <v>17101497</v>
      </c>
      <c r="E47" s="80">
        <v>17884048</v>
      </c>
      <c r="G47" s="69">
        <f t="shared" si="4"/>
        <v>782551</v>
      </c>
      <c r="I47" s="70">
        <f t="shared" si="5"/>
        <v>4.5759210436372912E-2</v>
      </c>
    </row>
    <row r="48" spans="1:10">
      <c r="A48" s="62" t="s">
        <v>81</v>
      </c>
      <c r="C48" s="80">
        <v>17702908</v>
      </c>
      <c r="E48" s="80">
        <v>16342323</v>
      </c>
      <c r="G48" s="69">
        <f t="shared" si="4"/>
        <v>-1360585</v>
      </c>
      <c r="I48" s="70">
        <f t="shared" si="5"/>
        <v>-7.6856581980768363E-2</v>
      </c>
    </row>
    <row r="49" spans="1:9">
      <c r="A49" s="62" t="s">
        <v>82</v>
      </c>
      <c r="C49" s="81">
        <v>33342168</v>
      </c>
      <c r="E49" s="81">
        <v>35235452</v>
      </c>
      <c r="G49" s="69">
        <f t="shared" si="4"/>
        <v>1893284</v>
      </c>
      <c r="I49" s="70">
        <f t="shared" si="5"/>
        <v>5.6783470109082287E-2</v>
      </c>
    </row>
    <row r="50" spans="1:9">
      <c r="A50" s="62" t="s">
        <v>71</v>
      </c>
      <c r="C50" s="81">
        <v>35553292</v>
      </c>
      <c r="D50" s="74"/>
      <c r="E50" s="81">
        <v>37353292</v>
      </c>
      <c r="G50" s="69">
        <f t="shared" si="4"/>
        <v>1800000</v>
      </c>
      <c r="I50" s="70">
        <f t="shared" si="5"/>
        <v>5.0628223119254329E-2</v>
      </c>
    </row>
    <row r="51" spans="1:9" ht="9" customHeight="1">
      <c r="C51" s="81"/>
      <c r="E51" s="81"/>
    </row>
    <row r="52" spans="1:9" s="82" customFormat="1" ht="18.75" thickBot="1">
      <c r="A52" s="82" t="s">
        <v>46</v>
      </c>
      <c r="C52" s="87">
        <f>SUM(C42:C50)</f>
        <v>319111040</v>
      </c>
      <c r="D52" s="88"/>
      <c r="E52" s="87">
        <f>SUM(E42:E50)</f>
        <v>327974049</v>
      </c>
      <c r="F52" s="83"/>
      <c r="G52" s="84">
        <f>SUM(G42:G50)</f>
        <v>8863009</v>
      </c>
      <c r="I52" s="85">
        <f t="shared" si="5"/>
        <v>2.7774059462185953E-2</v>
      </c>
    </row>
    <row r="53" spans="1:9" ht="15.75" thickTop="1"/>
  </sheetData>
  <phoneticPr fontId="0" type="noConversion"/>
  <printOptions horizontalCentered="1" gridLinesSet="0"/>
  <pageMargins left="0.89" right="1" top="1" bottom="1" header="0.5" footer="0.5"/>
  <pageSetup scale="79" orientation="landscape" horizontalDpi="300" verticalDpi="300" r:id="rId1"/>
  <headerFooter alignWithMargins="0">
    <oddHeader>&amp;C&amp;"Arial,Bold"&amp;18 
OSU - GENERAL UNIVERSITY
SUMMARY OF REVENUE &amp;&amp; EXPENDITURES
Education &amp;&amp; General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zoomScale="85" workbookViewId="0">
      <selection activeCell="I24" sqref="I24"/>
    </sheetView>
  </sheetViews>
  <sheetFormatPr defaultRowHeight="12.75"/>
  <cols>
    <col min="1" max="1" width="54.42578125" style="30" customWidth="1"/>
    <col min="2" max="2" width="9.140625" style="30"/>
    <col min="3" max="3" width="20.7109375" style="29" customWidth="1"/>
    <col min="4" max="4" width="9.140625" style="31"/>
    <col min="5" max="5" width="20.5703125" style="29" customWidth="1"/>
    <col min="6" max="6" width="9.140625" style="31"/>
    <col min="7" max="7" width="13.5703125" style="29" hidden="1" customWidth="1"/>
    <col min="8" max="8" width="0" style="30" hidden="1" customWidth="1"/>
    <col min="9" max="9" width="16.5703125" style="32" customWidth="1"/>
    <col min="10" max="16384" width="9.140625" style="30"/>
  </cols>
  <sheetData>
    <row r="1" spans="1:10" ht="90" customHeight="1"/>
    <row r="2" spans="1:10" ht="15.75" customHeight="1">
      <c r="A2" s="90"/>
      <c r="B2" s="90"/>
      <c r="C2" s="64"/>
      <c r="D2" s="64"/>
      <c r="E2" s="64"/>
      <c r="F2" s="64"/>
      <c r="G2" s="65" t="s">
        <v>47</v>
      </c>
      <c r="H2" s="63"/>
      <c r="I2" s="66" t="s">
        <v>124</v>
      </c>
      <c r="J2" s="90"/>
    </row>
    <row r="3" spans="1:10" ht="15.75">
      <c r="A3" s="90"/>
      <c r="B3" s="90"/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  <c r="J3" s="90"/>
    </row>
    <row r="4" spans="1:10" ht="15.75">
      <c r="B4" s="90"/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  <c r="J4" s="90"/>
    </row>
    <row r="5" spans="1:10" ht="15">
      <c r="A5" s="90" t="s">
        <v>51</v>
      </c>
      <c r="B5" s="90"/>
      <c r="C5" s="69"/>
      <c r="D5" s="91"/>
      <c r="E5" s="69"/>
      <c r="F5" s="91"/>
      <c r="G5" s="69"/>
      <c r="H5" s="90"/>
      <c r="I5" s="92"/>
      <c r="J5" s="90"/>
    </row>
    <row r="6" spans="1:10" ht="6.75" customHeight="1">
      <c r="A6" s="90"/>
      <c r="B6" s="90"/>
      <c r="C6" s="69"/>
      <c r="D6" s="91"/>
      <c r="E6" s="69"/>
      <c r="F6" s="91"/>
      <c r="G6" s="69"/>
      <c r="H6" s="90"/>
      <c r="I6" s="92"/>
      <c r="J6" s="90"/>
    </row>
    <row r="7" spans="1:10" ht="15">
      <c r="A7" s="90" t="s">
        <v>83</v>
      </c>
      <c r="B7" s="90"/>
      <c r="C7" s="86">
        <v>29818928</v>
      </c>
      <c r="D7" s="86"/>
      <c r="E7" s="86">
        <v>27229189</v>
      </c>
      <c r="F7" s="91"/>
      <c r="G7" s="69">
        <f>E7-C7</f>
        <v>-2589739</v>
      </c>
      <c r="H7" s="90"/>
      <c r="I7" s="93">
        <f>(E7-C7)/C7</f>
        <v>-8.6848829709773603E-2</v>
      </c>
      <c r="J7" s="90"/>
    </row>
    <row r="8" spans="1:10" ht="6" customHeight="1">
      <c r="A8" s="90"/>
      <c r="B8" s="90"/>
      <c r="C8" s="69"/>
      <c r="D8" s="91"/>
      <c r="E8" s="69"/>
      <c r="F8" s="91"/>
      <c r="G8" s="69"/>
      <c r="H8" s="90"/>
      <c r="I8" s="92"/>
      <c r="J8" s="90"/>
    </row>
    <row r="9" spans="1:10" ht="15">
      <c r="A9" s="90" t="s">
        <v>84</v>
      </c>
      <c r="B9" s="90"/>
      <c r="C9" s="69"/>
      <c r="D9" s="91"/>
      <c r="E9" s="69"/>
      <c r="F9" s="91"/>
      <c r="G9" s="69"/>
      <c r="H9" s="90"/>
      <c r="I9" s="92"/>
      <c r="J9" s="90"/>
    </row>
    <row r="10" spans="1:10" ht="15">
      <c r="A10" s="90" t="s">
        <v>85</v>
      </c>
      <c r="B10" s="90"/>
      <c r="C10" s="94">
        <v>2611883</v>
      </c>
      <c r="D10" s="91"/>
      <c r="E10" s="94">
        <v>2788170</v>
      </c>
      <c r="F10" s="91"/>
      <c r="G10" s="69">
        <f>E10-C10</f>
        <v>176287</v>
      </c>
      <c r="H10" s="90"/>
      <c r="I10" s="93">
        <f>(E10-C10)/C10</f>
        <v>6.7494217773154466E-2</v>
      </c>
      <c r="J10" s="90"/>
    </row>
    <row r="11" spans="1:10" ht="15">
      <c r="A11" s="90" t="s">
        <v>86</v>
      </c>
      <c r="B11" s="90"/>
      <c r="C11" s="94">
        <v>631889</v>
      </c>
      <c r="D11" s="91"/>
      <c r="E11" s="94">
        <v>631889</v>
      </c>
      <c r="F11" s="91"/>
      <c r="G11" s="69">
        <f>E11-C11</f>
        <v>0</v>
      </c>
      <c r="H11" s="90"/>
      <c r="I11" s="93">
        <f>(E11-C11)/C11</f>
        <v>0</v>
      </c>
      <c r="J11" s="90"/>
    </row>
    <row r="12" spans="1:10" ht="15">
      <c r="A12" s="90" t="s">
        <v>87</v>
      </c>
      <c r="B12" s="90"/>
      <c r="C12" s="94">
        <v>423202</v>
      </c>
      <c r="D12" s="91"/>
      <c r="E12" s="94">
        <v>469818</v>
      </c>
      <c r="F12" s="91"/>
      <c r="G12" s="69">
        <f>E12-C12</f>
        <v>46616</v>
      </c>
      <c r="H12" s="90"/>
      <c r="I12" s="93">
        <f>(E12-C12)/C12</f>
        <v>0.11015070817245665</v>
      </c>
      <c r="J12" s="90"/>
    </row>
    <row r="13" spans="1:10" ht="15">
      <c r="A13" s="90" t="s">
        <v>88</v>
      </c>
      <c r="B13" s="90"/>
      <c r="C13" s="94">
        <v>123206</v>
      </c>
      <c r="D13" s="91"/>
      <c r="E13" s="94">
        <v>70903</v>
      </c>
      <c r="F13" s="91"/>
      <c r="G13" s="69">
        <f>E13-C13</f>
        <v>-52303</v>
      </c>
      <c r="H13" s="90"/>
      <c r="I13" s="95">
        <f>(E13-C13)/C13</f>
        <v>-0.42451666314952191</v>
      </c>
      <c r="J13" s="90"/>
    </row>
    <row r="14" spans="1:10" ht="15">
      <c r="A14" s="90" t="s">
        <v>125</v>
      </c>
      <c r="B14" s="90"/>
      <c r="C14" s="103">
        <f>SUM(C10:C13)</f>
        <v>3790180</v>
      </c>
      <c r="D14" s="86"/>
      <c r="E14" s="103">
        <f>SUM(E10:E13)</f>
        <v>3960780</v>
      </c>
      <c r="F14" s="91"/>
      <c r="G14" s="72">
        <f>SUM(G10:G13)</f>
        <v>170600</v>
      </c>
      <c r="H14" s="90"/>
      <c r="I14" s="93">
        <f>(E14-C14)/C14</f>
        <v>4.5011054883936912E-2</v>
      </c>
      <c r="J14" s="90"/>
    </row>
    <row r="15" spans="1:10" ht="15">
      <c r="A15" s="90"/>
      <c r="B15" s="90"/>
      <c r="C15" s="69"/>
      <c r="D15" s="91"/>
      <c r="E15" s="69"/>
      <c r="F15" s="91"/>
      <c r="G15" s="69"/>
      <c r="H15" s="90"/>
      <c r="I15" s="92"/>
      <c r="J15" s="90"/>
    </row>
    <row r="16" spans="1:10" ht="15">
      <c r="A16" s="90" t="s">
        <v>89</v>
      </c>
      <c r="B16" s="90"/>
      <c r="C16" s="69">
        <v>2700000</v>
      </c>
      <c r="D16" s="91"/>
      <c r="E16" s="69">
        <v>2295000</v>
      </c>
      <c r="F16" s="91"/>
      <c r="G16" s="69">
        <f>E16-C16</f>
        <v>-405000</v>
      </c>
      <c r="H16" s="90"/>
      <c r="I16" s="93">
        <f t="shared" ref="I16:I22" si="0">(E16-C16)/C16</f>
        <v>-0.15</v>
      </c>
      <c r="J16" s="90"/>
    </row>
    <row r="17" spans="1:10" ht="15">
      <c r="A17" s="90" t="s">
        <v>90</v>
      </c>
      <c r="B17" s="90"/>
      <c r="C17" s="96">
        <v>4000000</v>
      </c>
      <c r="D17" s="91"/>
      <c r="E17" s="96">
        <v>4000000</v>
      </c>
      <c r="F17" s="91"/>
      <c r="G17" s="69">
        <f>E17-C17</f>
        <v>0</v>
      </c>
      <c r="H17" s="90"/>
      <c r="I17" s="93">
        <f t="shared" si="0"/>
        <v>0</v>
      </c>
      <c r="J17" s="90"/>
    </row>
    <row r="18" spans="1:10" ht="15">
      <c r="A18" s="90" t="s">
        <v>136</v>
      </c>
      <c r="B18" s="90"/>
      <c r="C18" s="96">
        <v>0</v>
      </c>
      <c r="D18" s="91"/>
      <c r="E18" s="96">
        <v>2168943</v>
      </c>
      <c r="F18" s="91"/>
      <c r="G18" s="69"/>
      <c r="H18" s="90"/>
      <c r="I18" s="93">
        <v>1</v>
      </c>
      <c r="J18" s="90"/>
    </row>
    <row r="19" spans="1:10" ht="4.5" customHeight="1">
      <c r="A19" s="90"/>
      <c r="B19" s="90"/>
      <c r="C19" s="96"/>
      <c r="D19" s="91"/>
      <c r="E19" s="96"/>
      <c r="F19" s="91"/>
      <c r="G19" s="69"/>
      <c r="H19" s="90"/>
      <c r="I19" s="93"/>
      <c r="J19" s="90"/>
    </row>
    <row r="20" spans="1:10" ht="15">
      <c r="A20" s="90" t="s">
        <v>29</v>
      </c>
      <c r="B20" s="90"/>
      <c r="C20" s="89">
        <f>C7+C14+C17+C16+C18</f>
        <v>40309108</v>
      </c>
      <c r="D20" s="86"/>
      <c r="E20" s="89">
        <f>E7+E14+E17+E16+E18</f>
        <v>39653912</v>
      </c>
      <c r="F20" s="91"/>
      <c r="G20" s="72">
        <f>G7+G14+G17+G16</f>
        <v>-2824139</v>
      </c>
      <c r="H20" s="90"/>
      <c r="I20" s="97">
        <f t="shared" si="0"/>
        <v>-1.6254291709952996E-2</v>
      </c>
      <c r="J20" s="90"/>
    </row>
    <row r="21" spans="1:10" ht="15">
      <c r="A21" s="90"/>
      <c r="B21" s="90"/>
      <c r="C21" s="74"/>
      <c r="D21" s="91"/>
      <c r="E21" s="74"/>
      <c r="F21" s="91"/>
      <c r="G21" s="74"/>
      <c r="H21" s="90"/>
      <c r="I21" s="98"/>
      <c r="J21" s="90"/>
    </row>
    <row r="22" spans="1:10" ht="15">
      <c r="A22" s="62" t="s">
        <v>30</v>
      </c>
      <c r="B22" s="90"/>
      <c r="C22" s="107">
        <v>5250000</v>
      </c>
      <c r="D22" s="86"/>
      <c r="E22" s="107">
        <v>3750000</v>
      </c>
      <c r="F22" s="91"/>
      <c r="G22" s="69">
        <f>E22-C22</f>
        <v>-1500000</v>
      </c>
      <c r="H22" s="90"/>
      <c r="I22" s="93">
        <f t="shared" si="0"/>
        <v>-0.2857142857142857</v>
      </c>
      <c r="J22" s="90"/>
    </row>
    <row r="23" spans="1:10" ht="15">
      <c r="A23" s="90"/>
      <c r="B23" s="90"/>
      <c r="C23" s="69"/>
      <c r="D23" s="91"/>
      <c r="E23" s="69"/>
      <c r="F23" s="91"/>
      <c r="G23" s="69"/>
      <c r="H23" s="90"/>
      <c r="I23" s="92"/>
      <c r="J23" s="90"/>
    </row>
    <row r="24" spans="1:10" s="100" customFormat="1" ht="18.75" thickBot="1">
      <c r="A24" s="100" t="s">
        <v>35</v>
      </c>
      <c r="C24" s="87">
        <f>SUM(C20:C23)</f>
        <v>45559108</v>
      </c>
      <c r="D24" s="88"/>
      <c r="E24" s="87">
        <f>SUM(E20:E23)</f>
        <v>43403912</v>
      </c>
      <c r="F24" s="101"/>
      <c r="G24" s="84">
        <f>SUM(G20:G23)</f>
        <v>-4324139</v>
      </c>
      <c r="I24" s="102">
        <f>(E24-C24)/C24</f>
        <v>-4.7305491582495425E-2</v>
      </c>
    </row>
    <row r="25" spans="1:10" s="100" customFormat="1" ht="18.75" thickTop="1">
      <c r="C25" s="104"/>
      <c r="D25" s="88"/>
      <c r="E25" s="104"/>
      <c r="F25" s="101"/>
      <c r="G25" s="105"/>
      <c r="I25" s="106"/>
    </row>
    <row r="26" spans="1:10" ht="20.25" customHeight="1">
      <c r="A26" s="90"/>
      <c r="B26" s="90"/>
      <c r="C26" s="69"/>
      <c r="D26" s="91"/>
      <c r="E26" s="69"/>
      <c r="F26" s="91"/>
      <c r="G26" s="69"/>
      <c r="H26" s="90"/>
      <c r="I26" s="92"/>
      <c r="J26" s="90"/>
    </row>
    <row r="27" spans="1:10" ht="15" hidden="1">
      <c r="A27" s="90" t="s">
        <v>59</v>
      </c>
      <c r="B27" s="90"/>
      <c r="C27" s="69"/>
      <c r="D27" s="91"/>
      <c r="E27" s="69"/>
      <c r="F27" s="91"/>
      <c r="G27" s="69"/>
      <c r="H27" s="90"/>
      <c r="I27" s="92"/>
      <c r="J27" s="90"/>
    </row>
    <row r="28" spans="1:10" ht="15" hidden="1">
      <c r="A28" s="90" t="s">
        <v>91</v>
      </c>
      <c r="B28" s="90"/>
      <c r="C28" s="96">
        <v>14825050</v>
      </c>
      <c r="D28" s="91"/>
      <c r="E28" s="96">
        <v>14825050</v>
      </c>
      <c r="F28" s="91"/>
      <c r="G28" s="69">
        <f t="shared" ref="G28:G37" si="1">E28-C28</f>
        <v>0</v>
      </c>
      <c r="H28" s="90"/>
      <c r="I28" s="93">
        <f t="shared" ref="I28:I38" si="2">G28/C28</f>
        <v>0</v>
      </c>
      <c r="J28" s="90"/>
    </row>
    <row r="29" spans="1:10" ht="15" hidden="1">
      <c r="A29" s="90" t="s">
        <v>92</v>
      </c>
      <c r="B29" s="90"/>
      <c r="C29" s="96">
        <v>4567181</v>
      </c>
      <c r="D29" s="91"/>
      <c r="E29" s="96">
        <v>4567181</v>
      </c>
      <c r="F29" s="91"/>
      <c r="G29" s="69">
        <f t="shared" si="1"/>
        <v>0</v>
      </c>
      <c r="H29" s="90"/>
      <c r="I29" s="93">
        <f t="shared" si="2"/>
        <v>0</v>
      </c>
      <c r="J29" s="90"/>
    </row>
    <row r="30" spans="1:10" ht="15" hidden="1">
      <c r="A30" s="90" t="s">
        <v>93</v>
      </c>
      <c r="B30" s="90"/>
      <c r="C30" s="96">
        <v>7251611</v>
      </c>
      <c r="D30" s="91"/>
      <c r="E30" s="96">
        <v>7251611</v>
      </c>
      <c r="F30" s="91"/>
      <c r="G30" s="69">
        <f t="shared" si="1"/>
        <v>0</v>
      </c>
      <c r="H30" s="90"/>
      <c r="I30" s="93">
        <f t="shared" si="2"/>
        <v>0</v>
      </c>
      <c r="J30" s="90"/>
    </row>
    <row r="31" spans="1:10" ht="15" hidden="1">
      <c r="A31" s="90" t="s">
        <v>94</v>
      </c>
      <c r="B31" s="90"/>
      <c r="C31" s="96">
        <v>2541260</v>
      </c>
      <c r="D31" s="91"/>
      <c r="E31" s="96">
        <v>2541260</v>
      </c>
      <c r="F31" s="91"/>
      <c r="G31" s="69">
        <f t="shared" si="1"/>
        <v>0</v>
      </c>
      <c r="H31" s="90"/>
      <c r="I31" s="93">
        <f t="shared" si="2"/>
        <v>0</v>
      </c>
      <c r="J31" s="90"/>
    </row>
    <row r="32" spans="1:10" ht="15" hidden="1">
      <c r="A32" s="90" t="s">
        <v>95</v>
      </c>
      <c r="B32" s="90"/>
      <c r="C32" s="96">
        <v>1589220</v>
      </c>
      <c r="D32" s="91"/>
      <c r="E32" s="96">
        <v>1589220</v>
      </c>
      <c r="F32" s="91"/>
      <c r="G32" s="69">
        <f t="shared" si="1"/>
        <v>0</v>
      </c>
      <c r="H32" s="90"/>
      <c r="I32" s="93">
        <f t="shared" si="2"/>
        <v>0</v>
      </c>
      <c r="J32" s="90"/>
    </row>
    <row r="33" spans="1:10" ht="15" hidden="1">
      <c r="A33" s="90" t="s">
        <v>96</v>
      </c>
      <c r="B33" s="90"/>
      <c r="C33" s="96">
        <v>458000</v>
      </c>
      <c r="D33" s="91"/>
      <c r="E33" s="96">
        <v>458000</v>
      </c>
      <c r="F33" s="91"/>
      <c r="G33" s="69">
        <f t="shared" si="1"/>
        <v>0</v>
      </c>
      <c r="H33" s="90"/>
      <c r="I33" s="93">
        <f t="shared" si="2"/>
        <v>0</v>
      </c>
      <c r="J33" s="90"/>
    </row>
    <row r="34" spans="1:10" ht="15" hidden="1">
      <c r="A34" s="90" t="s">
        <v>97</v>
      </c>
      <c r="B34" s="90"/>
      <c r="C34" s="96">
        <v>520100</v>
      </c>
      <c r="D34" s="91"/>
      <c r="E34" s="96">
        <v>520100</v>
      </c>
      <c r="F34" s="91"/>
      <c r="G34" s="69">
        <f t="shared" si="1"/>
        <v>0</v>
      </c>
      <c r="H34" s="90"/>
      <c r="I34" s="93">
        <f t="shared" si="2"/>
        <v>0</v>
      </c>
      <c r="J34" s="90"/>
    </row>
    <row r="35" spans="1:10" ht="15" hidden="1">
      <c r="A35" s="90" t="s">
        <v>98</v>
      </c>
      <c r="B35" s="90"/>
      <c r="C35" s="96">
        <v>445500</v>
      </c>
      <c r="D35" s="91"/>
      <c r="E35" s="96">
        <v>445500</v>
      </c>
      <c r="F35" s="91"/>
      <c r="G35" s="69">
        <f t="shared" si="1"/>
        <v>0</v>
      </c>
      <c r="H35" s="90"/>
      <c r="I35" s="93">
        <f t="shared" si="2"/>
        <v>0</v>
      </c>
      <c r="J35" s="90"/>
    </row>
    <row r="36" spans="1:10" ht="15" hidden="1">
      <c r="A36" s="90" t="s">
        <v>99</v>
      </c>
      <c r="B36" s="90"/>
      <c r="C36" s="96">
        <v>1490565</v>
      </c>
      <c r="D36" s="91"/>
      <c r="E36" s="96">
        <v>1490565</v>
      </c>
      <c r="F36" s="91"/>
      <c r="G36" s="69">
        <f t="shared" si="1"/>
        <v>0</v>
      </c>
      <c r="H36" s="90"/>
      <c r="I36" s="93">
        <f t="shared" si="2"/>
        <v>0</v>
      </c>
      <c r="J36" s="90"/>
    </row>
    <row r="37" spans="1:10" ht="15" hidden="1">
      <c r="A37" s="90" t="s">
        <v>100</v>
      </c>
      <c r="B37" s="90"/>
      <c r="C37" s="96">
        <v>907198</v>
      </c>
      <c r="D37" s="91"/>
      <c r="E37" s="96">
        <v>907198</v>
      </c>
      <c r="F37" s="91"/>
      <c r="G37" s="69">
        <f t="shared" si="1"/>
        <v>0</v>
      </c>
      <c r="H37" s="90"/>
      <c r="I37" s="93">
        <f t="shared" si="2"/>
        <v>0</v>
      </c>
      <c r="J37" s="90"/>
    </row>
    <row r="38" spans="1:10" ht="15.75" hidden="1" thickBot="1">
      <c r="A38" s="90" t="s">
        <v>74</v>
      </c>
      <c r="B38" s="90"/>
      <c r="C38" s="76">
        <f>SUM(C28:C37)</f>
        <v>34595685</v>
      </c>
      <c r="D38" s="91"/>
      <c r="E38" s="76">
        <f>SUM(E28:E37)</f>
        <v>34595685</v>
      </c>
      <c r="F38" s="91"/>
      <c r="G38" s="76">
        <f>SUM(G28:G37)</f>
        <v>0</v>
      </c>
      <c r="H38" s="90"/>
      <c r="I38" s="99">
        <f t="shared" si="2"/>
        <v>0</v>
      </c>
      <c r="J38" s="90"/>
    </row>
    <row r="39" spans="1:10" ht="15" hidden="1">
      <c r="A39" s="90"/>
      <c r="B39" s="90"/>
      <c r="C39" s="69"/>
      <c r="D39" s="91"/>
      <c r="E39" s="69"/>
      <c r="F39" s="91"/>
      <c r="G39" s="69"/>
      <c r="H39" s="90"/>
      <c r="I39" s="92"/>
      <c r="J39" s="90"/>
    </row>
    <row r="40" spans="1:10" ht="15">
      <c r="A40" s="90"/>
      <c r="B40" s="90"/>
      <c r="C40" s="69"/>
      <c r="D40" s="91"/>
      <c r="E40" s="69"/>
      <c r="F40" s="91"/>
      <c r="G40" s="69"/>
      <c r="H40" s="90"/>
      <c r="I40" s="92"/>
      <c r="J40" s="90"/>
    </row>
    <row r="41" spans="1:10" ht="15">
      <c r="A41" s="90"/>
      <c r="B41" s="90"/>
      <c r="C41" s="69"/>
      <c r="D41" s="91"/>
      <c r="E41" s="69"/>
      <c r="F41" s="91"/>
      <c r="G41" s="69"/>
      <c r="H41" s="90"/>
      <c r="I41" s="92"/>
      <c r="J41" s="90"/>
    </row>
    <row r="42" spans="1:10" ht="15">
      <c r="A42" s="90"/>
      <c r="B42" s="90"/>
      <c r="C42" s="69"/>
      <c r="D42" s="91"/>
      <c r="E42" s="69"/>
      <c r="F42" s="91"/>
      <c r="G42" s="69"/>
      <c r="H42" s="90"/>
      <c r="I42" s="92"/>
      <c r="J42" s="90"/>
    </row>
    <row r="43" spans="1:10" ht="15">
      <c r="A43" s="90"/>
      <c r="B43" s="90"/>
      <c r="C43" s="69"/>
      <c r="D43" s="91"/>
      <c r="E43" s="69"/>
      <c r="F43" s="91"/>
      <c r="G43" s="69"/>
      <c r="H43" s="90"/>
      <c r="I43" s="92"/>
      <c r="J43" s="90"/>
    </row>
  </sheetData>
  <phoneticPr fontId="0" type="noConversion"/>
  <printOptions horizontalCentered="1" gridLinesSet="0"/>
  <pageMargins left="0.65" right="0.84" top="1" bottom="1" header="0.5" footer="0.5"/>
  <pageSetup scale="86" orientation="landscape" horizontalDpi="300" verticalDpi="300" r:id="rId1"/>
  <headerFooter alignWithMargins="0">
    <oddHeader>&amp;C&amp;"Arial,Bold"&amp;18
OKLAHOMA AGRICULTURAL EXPERIMENT STATION
SUMMARY OF REVENUE &amp;&amp; EXPENDITURES
Education &amp;&amp; General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showGridLines="0" topLeftCell="A4" zoomScale="85" workbookViewId="0">
      <selection activeCell="I39" sqref="I39"/>
    </sheetView>
  </sheetViews>
  <sheetFormatPr defaultRowHeight="12.75"/>
  <cols>
    <col min="1" max="1" width="54.42578125" style="36" customWidth="1"/>
    <col min="2" max="2" width="9.140625" style="36"/>
    <col min="3" max="3" width="20.5703125" style="37" customWidth="1"/>
    <col min="4" max="4" width="9.140625" style="36"/>
    <col min="5" max="5" width="20.7109375" style="37" customWidth="1"/>
    <col min="6" max="6" width="9.140625" style="36"/>
    <col min="7" max="7" width="13.5703125" style="37" hidden="1" customWidth="1"/>
    <col min="8" max="8" width="0" style="36" hidden="1" customWidth="1"/>
    <col min="9" max="9" width="16.5703125" style="38" customWidth="1"/>
    <col min="10" max="16384" width="9.140625" style="36"/>
  </cols>
  <sheetData>
    <row r="1" spans="1:9" ht="90" customHeight="1">
      <c r="A1" s="27"/>
      <c r="B1" s="34"/>
      <c r="C1" s="2"/>
      <c r="D1" s="34"/>
      <c r="E1" s="2"/>
      <c r="F1" s="34"/>
      <c r="G1" s="2"/>
      <c r="H1" s="34"/>
      <c r="I1" s="35"/>
    </row>
    <row r="2" spans="1:9" ht="15.75">
      <c r="A2" s="108"/>
      <c r="B2" s="108"/>
      <c r="C2" s="64"/>
      <c r="D2" s="64"/>
      <c r="E2" s="64"/>
      <c r="F2" s="64"/>
      <c r="G2" s="65" t="s">
        <v>47</v>
      </c>
      <c r="H2" s="63"/>
      <c r="I2" s="66" t="s">
        <v>124</v>
      </c>
    </row>
    <row r="3" spans="1:9" ht="15.75">
      <c r="A3" s="108"/>
      <c r="B3" s="108"/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</row>
    <row r="4" spans="1:9" ht="15.75">
      <c r="A4" s="108"/>
      <c r="B4" s="108"/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</row>
    <row r="5" spans="1:9" ht="15">
      <c r="A5" s="108" t="s">
        <v>51</v>
      </c>
      <c r="B5" s="108"/>
      <c r="C5" s="80"/>
      <c r="D5" s="108"/>
      <c r="E5" s="80"/>
      <c r="F5" s="108"/>
      <c r="G5" s="80"/>
      <c r="H5" s="108"/>
      <c r="I5" s="109"/>
    </row>
    <row r="6" spans="1:9" ht="15">
      <c r="A6" s="108"/>
      <c r="B6" s="108"/>
      <c r="C6" s="80"/>
      <c r="D6" s="108"/>
      <c r="E6" s="80"/>
      <c r="F6" s="108"/>
      <c r="G6" s="80"/>
      <c r="H6" s="108"/>
      <c r="I6" s="109"/>
    </row>
    <row r="7" spans="1:9" ht="15">
      <c r="A7" s="108" t="s">
        <v>83</v>
      </c>
      <c r="B7" s="108"/>
      <c r="C7" s="107">
        <v>30017859</v>
      </c>
      <c r="D7" s="86"/>
      <c r="E7" s="107">
        <v>29755007</v>
      </c>
      <c r="F7" s="108"/>
      <c r="G7" s="80">
        <f>E7-C7</f>
        <v>-262852</v>
      </c>
      <c r="H7" s="108"/>
      <c r="I7" s="93">
        <f>(E7-C7)/C7</f>
        <v>-8.7565205766340637E-3</v>
      </c>
    </row>
    <row r="8" spans="1:9" ht="9" customHeight="1">
      <c r="A8" s="108"/>
      <c r="B8" s="108"/>
      <c r="C8" s="86"/>
      <c r="D8" s="86"/>
      <c r="E8" s="86"/>
      <c r="F8" s="108"/>
      <c r="G8" s="80"/>
      <c r="H8" s="108"/>
      <c r="I8" s="109"/>
    </row>
    <row r="9" spans="1:9" ht="15">
      <c r="A9" s="108" t="s">
        <v>101</v>
      </c>
      <c r="B9" s="108"/>
      <c r="C9" s="86">
        <v>8690935</v>
      </c>
      <c r="D9" s="86"/>
      <c r="E9" s="86">
        <v>7263449</v>
      </c>
      <c r="F9" s="108"/>
      <c r="G9" s="80">
        <f>E9-C9</f>
        <v>-1427486</v>
      </c>
      <c r="H9" s="108"/>
      <c r="I9" s="93">
        <f>(E9-C9)/C9</f>
        <v>-0.16424999151414663</v>
      </c>
    </row>
    <row r="10" spans="1:9" ht="6.75" customHeight="1">
      <c r="A10" s="108"/>
      <c r="B10" s="108"/>
      <c r="C10" s="80"/>
      <c r="D10" s="108"/>
      <c r="E10" s="80"/>
      <c r="F10" s="108"/>
      <c r="G10" s="80"/>
      <c r="H10" s="108"/>
      <c r="I10" s="109"/>
    </row>
    <row r="11" spans="1:9" ht="15">
      <c r="A11" s="108" t="s">
        <v>102</v>
      </c>
      <c r="B11" s="108"/>
      <c r="C11" s="86">
        <v>3445704</v>
      </c>
      <c r="D11" s="86"/>
      <c r="E11" s="86">
        <v>4000000</v>
      </c>
      <c r="F11" s="108"/>
      <c r="G11" s="80">
        <f>E11-C11</f>
        <v>554296</v>
      </c>
      <c r="H11" s="108"/>
      <c r="I11" s="93">
        <f>(E11-C11)/C11</f>
        <v>0.16086582016331061</v>
      </c>
    </row>
    <row r="12" spans="1:9" ht="9" customHeight="1">
      <c r="A12" s="108"/>
      <c r="B12" s="108"/>
      <c r="C12" s="86"/>
      <c r="D12" s="86"/>
      <c r="E12" s="86"/>
      <c r="F12" s="108"/>
      <c r="G12" s="80"/>
      <c r="H12" s="108"/>
      <c r="I12" s="93"/>
    </row>
    <row r="13" spans="1:9" ht="15">
      <c r="A13" s="90" t="s">
        <v>136</v>
      </c>
      <c r="B13" s="108"/>
      <c r="C13" s="86">
        <v>0</v>
      </c>
      <c r="D13" s="86"/>
      <c r="E13" s="86">
        <v>2376815</v>
      </c>
      <c r="F13" s="108"/>
      <c r="G13" s="80">
        <f>E13-C13</f>
        <v>2376815</v>
      </c>
      <c r="H13" s="108"/>
      <c r="I13" s="93">
        <v>1</v>
      </c>
    </row>
    <row r="14" spans="1:9" ht="8.25" customHeight="1">
      <c r="A14" s="108"/>
      <c r="B14" s="108"/>
      <c r="C14" s="86"/>
      <c r="D14" s="86"/>
      <c r="E14" s="86"/>
      <c r="F14" s="108"/>
      <c r="G14" s="80"/>
      <c r="H14" s="108"/>
      <c r="I14" s="93"/>
    </row>
    <row r="15" spans="1:9" ht="15">
      <c r="A15" s="108" t="s">
        <v>29</v>
      </c>
      <c r="B15" s="108"/>
      <c r="C15" s="89">
        <f>C7+C9+C11</f>
        <v>42154498</v>
      </c>
      <c r="D15" s="86"/>
      <c r="E15" s="89">
        <f>E7+E9+E11+E13</f>
        <v>43395271</v>
      </c>
      <c r="F15" s="108"/>
      <c r="G15" s="111">
        <f>G7+G9+G11</f>
        <v>-1136042</v>
      </c>
      <c r="H15" s="108"/>
      <c r="I15" s="97">
        <f>(E15-C15)/C15</f>
        <v>2.9433940833549957E-2</v>
      </c>
    </row>
    <row r="16" spans="1:9" ht="15">
      <c r="A16" s="108"/>
      <c r="B16" s="108"/>
      <c r="C16" s="80"/>
      <c r="D16" s="108"/>
      <c r="E16" s="80"/>
      <c r="F16" s="108"/>
      <c r="G16" s="80"/>
      <c r="H16" s="108"/>
      <c r="I16" s="109"/>
    </row>
    <row r="17" spans="1:9" ht="15">
      <c r="A17" s="108" t="s">
        <v>30</v>
      </c>
      <c r="B17" s="108"/>
      <c r="C17" s="110">
        <v>8000000</v>
      </c>
      <c r="D17" s="108"/>
      <c r="E17" s="110">
        <v>8000000</v>
      </c>
      <c r="F17" s="108"/>
      <c r="G17" s="80">
        <f>E17-C17</f>
        <v>0</v>
      </c>
      <c r="H17" s="108"/>
      <c r="I17" s="93">
        <f>(E17-C17)/C17</f>
        <v>0</v>
      </c>
    </row>
    <row r="18" spans="1:9" ht="15">
      <c r="A18" s="108"/>
      <c r="B18" s="108"/>
      <c r="C18" s="110"/>
      <c r="D18" s="108"/>
      <c r="E18" s="110"/>
      <c r="F18" s="108"/>
      <c r="G18" s="80"/>
      <c r="H18" s="108"/>
      <c r="I18" s="93"/>
    </row>
    <row r="19" spans="1:9" s="114" customFormat="1" ht="18.75" thickBot="1">
      <c r="A19" s="114" t="s">
        <v>35</v>
      </c>
      <c r="C19" s="87">
        <f>SUM(C15:C17)</f>
        <v>50154498</v>
      </c>
      <c r="D19" s="88"/>
      <c r="E19" s="87">
        <f>SUM(E15:E17)</f>
        <v>51395271</v>
      </c>
      <c r="G19" s="115">
        <f>SUM(G15:G17)</f>
        <v>-1136042</v>
      </c>
      <c r="I19" s="102">
        <f>(E19-C19)/C19</f>
        <v>2.4739017425715236E-2</v>
      </c>
    </row>
    <row r="20" spans="1:9" ht="15.75" thickTop="1">
      <c r="A20" s="108"/>
      <c r="B20" s="108"/>
      <c r="C20" s="80"/>
      <c r="D20" s="108"/>
      <c r="E20" s="80"/>
      <c r="F20" s="108"/>
      <c r="G20" s="80"/>
      <c r="H20" s="108"/>
      <c r="I20" s="109"/>
    </row>
    <row r="21" spans="1:9" ht="15" hidden="1">
      <c r="A21" s="108" t="s">
        <v>59</v>
      </c>
      <c r="B21" s="108"/>
      <c r="C21" s="80"/>
      <c r="D21" s="108"/>
      <c r="E21" s="80"/>
      <c r="F21" s="108"/>
      <c r="G21" s="80"/>
      <c r="H21" s="108"/>
      <c r="I21" s="109"/>
    </row>
    <row r="22" spans="1:9" ht="15" hidden="1">
      <c r="A22" s="108" t="s">
        <v>91</v>
      </c>
      <c r="B22" s="108"/>
      <c r="C22" s="110">
        <f>15577036+2391768</f>
        <v>17968804</v>
      </c>
      <c r="D22" s="108"/>
      <c r="E22" s="110">
        <f>15577036+2391768</f>
        <v>17968804</v>
      </c>
      <c r="F22" s="108"/>
      <c r="G22" s="80">
        <f t="shared" ref="G22:G32" si="0">E22-C22</f>
        <v>0</v>
      </c>
      <c r="H22" s="108"/>
      <c r="I22" s="93">
        <f t="shared" ref="I22:I29" si="1">G22/C22</f>
        <v>0</v>
      </c>
    </row>
    <row r="23" spans="1:9" ht="15" hidden="1">
      <c r="A23" s="108" t="s">
        <v>92</v>
      </c>
      <c r="B23" s="108"/>
      <c r="C23" s="110">
        <f>3696119+613119</f>
        <v>4309238</v>
      </c>
      <c r="D23" s="108"/>
      <c r="E23" s="110">
        <f>3696119+613119</f>
        <v>4309238</v>
      </c>
      <c r="F23" s="108"/>
      <c r="G23" s="80">
        <f t="shared" si="0"/>
        <v>0</v>
      </c>
      <c r="H23" s="108"/>
      <c r="I23" s="93">
        <f t="shared" si="1"/>
        <v>0</v>
      </c>
    </row>
    <row r="24" spans="1:9" ht="15" hidden="1">
      <c r="A24" s="108" t="s">
        <v>93</v>
      </c>
      <c r="B24" s="108"/>
      <c r="C24" s="110">
        <f>8175283+617970</f>
        <v>8793253</v>
      </c>
      <c r="D24" s="108"/>
      <c r="E24" s="110">
        <f>8175283+617970</f>
        <v>8793253</v>
      </c>
      <c r="F24" s="108"/>
      <c r="G24" s="80">
        <f t="shared" si="0"/>
        <v>0</v>
      </c>
      <c r="H24" s="108"/>
      <c r="I24" s="93">
        <f t="shared" si="1"/>
        <v>0</v>
      </c>
    </row>
    <row r="25" spans="1:9" ht="15" hidden="1">
      <c r="A25" s="108" t="s">
        <v>94</v>
      </c>
      <c r="B25" s="108"/>
      <c r="C25" s="110">
        <f>389150+250487</f>
        <v>639637</v>
      </c>
      <c r="D25" s="108"/>
      <c r="E25" s="110">
        <f>389150+250487</f>
        <v>639637</v>
      </c>
      <c r="F25" s="108"/>
      <c r="G25" s="80">
        <f t="shared" si="0"/>
        <v>0</v>
      </c>
      <c r="H25" s="108"/>
      <c r="I25" s="93">
        <f t="shared" si="1"/>
        <v>0</v>
      </c>
    </row>
    <row r="26" spans="1:9" ht="15" hidden="1">
      <c r="A26" s="108" t="s">
        <v>95</v>
      </c>
      <c r="B26" s="108"/>
      <c r="C26" s="110">
        <f>646224+685372</f>
        <v>1331596</v>
      </c>
      <c r="D26" s="108"/>
      <c r="E26" s="110">
        <f>646224+685372</f>
        <v>1331596</v>
      </c>
      <c r="F26" s="108"/>
      <c r="G26" s="80">
        <f t="shared" si="0"/>
        <v>0</v>
      </c>
      <c r="H26" s="108"/>
      <c r="I26" s="93">
        <f t="shared" si="1"/>
        <v>0</v>
      </c>
    </row>
    <row r="27" spans="1:9" ht="15" hidden="1">
      <c r="A27" s="62" t="s">
        <v>103</v>
      </c>
      <c r="B27" s="108"/>
      <c r="C27" s="110">
        <f>3195+9037</f>
        <v>12232</v>
      </c>
      <c r="D27" s="108"/>
      <c r="E27" s="110">
        <f>3195+9037</f>
        <v>12232</v>
      </c>
      <c r="F27" s="108"/>
      <c r="G27" s="80">
        <f t="shared" si="0"/>
        <v>0</v>
      </c>
      <c r="H27" s="108"/>
      <c r="I27" s="93">
        <f t="shared" si="1"/>
        <v>0</v>
      </c>
    </row>
    <row r="28" spans="1:9" ht="15" hidden="1">
      <c r="A28" s="108" t="s">
        <v>96</v>
      </c>
      <c r="B28" s="108"/>
      <c r="C28" s="110">
        <f>633529+668162</f>
        <v>1301691</v>
      </c>
      <c r="D28" s="108"/>
      <c r="E28" s="110">
        <f>633529+668162</f>
        <v>1301691</v>
      </c>
      <c r="F28" s="108"/>
      <c r="G28" s="80">
        <f t="shared" si="0"/>
        <v>0</v>
      </c>
      <c r="H28" s="108"/>
      <c r="I28" s="93">
        <f t="shared" si="1"/>
        <v>0</v>
      </c>
    </row>
    <row r="29" spans="1:9" ht="15" hidden="1">
      <c r="A29" s="108" t="s">
        <v>97</v>
      </c>
      <c r="B29" s="108"/>
      <c r="C29" s="110">
        <f>216164+295643</f>
        <v>511807</v>
      </c>
      <c r="D29" s="108"/>
      <c r="E29" s="110">
        <f>216164+295643</f>
        <v>511807</v>
      </c>
      <c r="F29" s="108"/>
      <c r="G29" s="80">
        <f t="shared" si="0"/>
        <v>0</v>
      </c>
      <c r="H29" s="108"/>
      <c r="I29" s="93">
        <f t="shared" si="1"/>
        <v>0</v>
      </c>
    </row>
    <row r="30" spans="1:9" ht="15" hidden="1">
      <c r="A30" s="90" t="s">
        <v>98</v>
      </c>
      <c r="B30" s="108"/>
      <c r="C30" s="110">
        <f>26742+13371</f>
        <v>40113</v>
      </c>
      <c r="D30" s="108"/>
      <c r="E30" s="110">
        <f>26742+13371</f>
        <v>40113</v>
      </c>
      <c r="F30" s="108"/>
      <c r="G30" s="80">
        <f t="shared" si="0"/>
        <v>0</v>
      </c>
      <c r="H30" s="108"/>
      <c r="I30" s="93">
        <v>1</v>
      </c>
    </row>
    <row r="31" spans="1:9" ht="15" hidden="1">
      <c r="A31" s="108" t="s">
        <v>99</v>
      </c>
      <c r="B31" s="108"/>
      <c r="C31" s="110">
        <f>318242+453572</f>
        <v>771814</v>
      </c>
      <c r="D31" s="108"/>
      <c r="E31" s="110">
        <f>318242+453572</f>
        <v>771814</v>
      </c>
      <c r="F31" s="108"/>
      <c r="G31" s="80">
        <f t="shared" si="0"/>
        <v>0</v>
      </c>
      <c r="H31" s="108"/>
      <c r="I31" s="93">
        <f>G31/C31</f>
        <v>0</v>
      </c>
    </row>
    <row r="32" spans="1:9" ht="15" hidden="1">
      <c r="A32" s="108" t="s">
        <v>100</v>
      </c>
      <c r="B32" s="108"/>
      <c r="C32" s="110">
        <f>1285289+619723</f>
        <v>1905012</v>
      </c>
      <c r="D32" s="108"/>
      <c r="E32" s="110">
        <f>1285289+619723</f>
        <v>1905012</v>
      </c>
      <c r="F32" s="108"/>
      <c r="G32" s="80">
        <f t="shared" si="0"/>
        <v>0</v>
      </c>
      <c r="H32" s="108"/>
      <c r="I32" s="93">
        <f>G32/C32</f>
        <v>0</v>
      </c>
    </row>
    <row r="33" spans="1:9" ht="15.75" hidden="1" thickBot="1">
      <c r="A33" s="108" t="s">
        <v>74</v>
      </c>
      <c r="B33" s="108"/>
      <c r="C33" s="112">
        <f>SUM(C22:C32)</f>
        <v>37585197</v>
      </c>
      <c r="D33" s="108"/>
      <c r="E33" s="112">
        <f>SUM(E22:E32)</f>
        <v>37585197</v>
      </c>
      <c r="F33" s="108"/>
      <c r="G33" s="112">
        <f>SUM(G22:G32)</f>
        <v>0</v>
      </c>
      <c r="H33" s="108"/>
      <c r="I33" s="99">
        <f>G33/C33</f>
        <v>0</v>
      </c>
    </row>
    <row r="34" spans="1:9" ht="15">
      <c r="A34" s="108"/>
      <c r="B34" s="108"/>
      <c r="C34" s="80"/>
      <c r="D34" s="108"/>
      <c r="E34" s="80"/>
      <c r="F34" s="108"/>
      <c r="G34" s="80"/>
      <c r="H34" s="108"/>
      <c r="I34" s="109"/>
    </row>
    <row r="35" spans="1:9" ht="15">
      <c r="A35" s="62" t="s">
        <v>123</v>
      </c>
      <c r="B35" s="108"/>
      <c r="C35" s="80"/>
      <c r="D35" s="108"/>
      <c r="E35" s="80"/>
      <c r="F35" s="108"/>
      <c r="G35" s="80"/>
      <c r="H35" s="108"/>
      <c r="I35" s="109"/>
    </row>
    <row r="36" spans="1:9" ht="9" customHeight="1">
      <c r="A36" s="62"/>
      <c r="B36" s="108"/>
      <c r="C36" s="80"/>
      <c r="D36" s="108"/>
      <c r="E36" s="80"/>
      <c r="F36" s="108"/>
      <c r="G36" s="80"/>
      <c r="H36" s="108"/>
      <c r="I36" s="109"/>
    </row>
    <row r="37" spans="1:9" ht="15">
      <c r="A37" s="108" t="s">
        <v>104</v>
      </c>
      <c r="B37" s="108"/>
      <c r="C37" s="113">
        <v>50154498</v>
      </c>
      <c r="D37" s="108"/>
      <c r="E37" s="113">
        <v>51395271</v>
      </c>
      <c r="F37" s="108"/>
      <c r="G37" s="80">
        <f>E37-C37</f>
        <v>1240773</v>
      </c>
      <c r="H37" s="108"/>
      <c r="I37" s="93">
        <f>(E37-C37)/C37</f>
        <v>2.4739017425715236E-2</v>
      </c>
    </row>
    <row r="38" spans="1:9" ht="6.75" customHeight="1">
      <c r="A38" s="108"/>
      <c r="B38" s="108"/>
      <c r="C38" s="113"/>
      <c r="D38" s="108"/>
      <c r="E38" s="113"/>
      <c r="F38" s="108"/>
      <c r="G38" s="80"/>
      <c r="H38" s="108"/>
      <c r="I38" s="93"/>
    </row>
    <row r="39" spans="1:9" s="114" customFormat="1" ht="18.75" thickBot="1">
      <c r="A39" s="114" t="s">
        <v>46</v>
      </c>
      <c r="C39" s="87">
        <f>SUM(C37:C37)</f>
        <v>50154498</v>
      </c>
      <c r="D39" s="88"/>
      <c r="E39" s="87">
        <f>SUM(E37:E37)</f>
        <v>51395271</v>
      </c>
      <c r="G39" s="115">
        <f>SUM(G37:G37)</f>
        <v>1240773</v>
      </c>
      <c r="I39" s="102">
        <f>(E39-C39)/C39</f>
        <v>2.4739017425715236E-2</v>
      </c>
    </row>
    <row r="40" spans="1:9" ht="15.75" thickTop="1">
      <c r="A40" s="108"/>
      <c r="B40" s="108"/>
      <c r="C40" s="80"/>
      <c r="D40" s="108"/>
      <c r="E40" s="80"/>
      <c r="F40" s="108"/>
      <c r="G40" s="80"/>
      <c r="H40" s="108"/>
      <c r="I40" s="109"/>
    </row>
    <row r="41" spans="1:9" ht="15">
      <c r="A41" s="108"/>
      <c r="B41" s="108"/>
      <c r="C41" s="80"/>
      <c r="D41" s="108"/>
      <c r="E41" s="80"/>
      <c r="F41" s="108"/>
      <c r="G41" s="80"/>
      <c r="H41" s="108"/>
      <c r="I41" s="109"/>
    </row>
    <row r="42" spans="1:9" ht="15">
      <c r="A42" s="108"/>
      <c r="B42" s="108"/>
      <c r="C42" s="80"/>
      <c r="D42" s="108"/>
      <c r="E42" s="80"/>
      <c r="F42" s="108"/>
      <c r="G42" s="80"/>
      <c r="H42" s="108"/>
      <c r="I42" s="109"/>
    </row>
    <row r="43" spans="1:9" ht="15">
      <c r="A43" s="108"/>
      <c r="B43" s="108"/>
      <c r="C43" s="80"/>
      <c r="D43" s="108"/>
      <c r="E43" s="80"/>
      <c r="F43" s="108"/>
      <c r="G43" s="80"/>
      <c r="H43" s="108"/>
      <c r="I43" s="109"/>
    </row>
    <row r="44" spans="1:9" ht="15">
      <c r="A44" s="108"/>
      <c r="B44" s="108"/>
      <c r="C44" s="80"/>
      <c r="D44" s="108"/>
      <c r="E44" s="80"/>
      <c r="F44" s="108"/>
      <c r="G44" s="80"/>
      <c r="H44" s="108"/>
      <c r="I44" s="109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
&amp;"Arial,Bold"&amp;18OKLAHOMA COOPERATIVE EXTENSION SERVICE
SUMMARY OF REVENUE &amp;&amp; EXPENDITURES
Education &amp;&amp; General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showGridLines="0" zoomScale="85" workbookViewId="0">
      <selection activeCell="I46" sqref="I46"/>
    </sheetView>
  </sheetViews>
  <sheetFormatPr defaultRowHeight="12.75"/>
  <cols>
    <col min="1" max="1" width="54.42578125" style="41" customWidth="1"/>
    <col min="2" max="2" width="9.140625" style="41"/>
    <col min="3" max="3" width="20.7109375" style="37" customWidth="1"/>
    <col min="4" max="4" width="9.140625" style="41"/>
    <col min="5" max="5" width="20.7109375" style="37" customWidth="1"/>
    <col min="6" max="6" width="9.140625" style="41"/>
    <col min="7" max="7" width="13.5703125" style="29" hidden="1" customWidth="1"/>
    <col min="8" max="8" width="0" style="41" hidden="1" customWidth="1"/>
    <col min="9" max="9" width="16.5703125" style="33" customWidth="1"/>
    <col min="10" max="16384" width="9.140625" style="41"/>
  </cols>
  <sheetData>
    <row r="1" spans="1:10" ht="90" customHeight="1">
      <c r="A1" s="27"/>
      <c r="B1" s="39"/>
      <c r="C1" s="2"/>
      <c r="D1" s="39"/>
      <c r="E1" s="2"/>
      <c r="F1" s="39"/>
      <c r="G1" s="28"/>
      <c r="H1" s="39"/>
      <c r="I1" s="40"/>
    </row>
    <row r="2" spans="1:10" ht="15.75">
      <c r="C2" s="64"/>
      <c r="D2" s="64"/>
      <c r="E2" s="64"/>
      <c r="F2" s="64"/>
      <c r="G2" s="65" t="s">
        <v>47</v>
      </c>
      <c r="H2" s="63"/>
      <c r="I2" s="66" t="s">
        <v>124</v>
      </c>
    </row>
    <row r="3" spans="1:10" ht="15.75"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</row>
    <row r="4" spans="1:10" ht="15.75"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</row>
    <row r="5" spans="1:10" ht="15">
      <c r="A5" s="116" t="s">
        <v>51</v>
      </c>
      <c r="B5" s="116"/>
      <c r="C5" s="80"/>
      <c r="D5" s="116"/>
      <c r="E5" s="80"/>
      <c r="F5" s="116"/>
      <c r="G5" s="69"/>
      <c r="H5" s="116"/>
      <c r="I5" s="93"/>
      <c r="J5" s="116"/>
    </row>
    <row r="6" spans="1:10" ht="6.75" customHeight="1">
      <c r="A6" s="116"/>
      <c r="B6" s="116"/>
      <c r="C6" s="80"/>
      <c r="D6" s="116"/>
      <c r="E6" s="80"/>
      <c r="F6" s="116"/>
      <c r="G6" s="69"/>
      <c r="H6" s="116"/>
      <c r="I6" s="93"/>
      <c r="J6" s="116"/>
    </row>
    <row r="7" spans="1:10" ht="15">
      <c r="A7" s="116" t="s">
        <v>83</v>
      </c>
      <c r="B7" s="116"/>
      <c r="C7" s="86">
        <v>15399432</v>
      </c>
      <c r="D7" s="86"/>
      <c r="E7" s="86">
        <v>14784510</v>
      </c>
      <c r="F7" s="116"/>
      <c r="G7" s="69">
        <f t="shared" ref="G7:G14" si="0">E7-C7</f>
        <v>-614922</v>
      </c>
      <c r="H7" s="116"/>
      <c r="I7" s="93">
        <f>(E7-C7)/C7</f>
        <v>-3.9931472797178492E-2</v>
      </c>
      <c r="J7" s="116"/>
    </row>
    <row r="8" spans="1:10" ht="15">
      <c r="A8" s="116" t="s">
        <v>105</v>
      </c>
      <c r="B8" s="116"/>
      <c r="C8" s="110">
        <f>6400267+1316380+1314796</f>
        <v>9031443</v>
      </c>
      <c r="D8" s="116"/>
      <c r="E8" s="110">
        <v>9252731</v>
      </c>
      <c r="F8" s="116"/>
      <c r="G8" s="69">
        <f t="shared" si="0"/>
        <v>221288</v>
      </c>
      <c r="H8" s="116"/>
      <c r="I8" s="93">
        <f>(E8-C8)/C8</f>
        <v>2.4501953895961034E-2</v>
      </c>
      <c r="J8" s="116"/>
    </row>
    <row r="9" spans="1:10" ht="15">
      <c r="A9" s="116" t="s">
        <v>106</v>
      </c>
      <c r="B9" s="116"/>
      <c r="C9" s="110">
        <f>700882+161778</f>
        <v>862660</v>
      </c>
      <c r="D9" s="116"/>
      <c r="E9" s="110">
        <f>527750+101222</f>
        <v>628972</v>
      </c>
      <c r="F9" s="116"/>
      <c r="G9" s="69">
        <f t="shared" si="0"/>
        <v>-233688</v>
      </c>
      <c r="H9" s="116"/>
      <c r="I9" s="93">
        <f>(E9-C9)/C9</f>
        <v>-0.27089235620058888</v>
      </c>
      <c r="J9" s="116"/>
    </row>
    <row r="10" spans="1:10" ht="15">
      <c r="A10" s="118" t="s">
        <v>118</v>
      </c>
      <c r="B10" s="116"/>
      <c r="C10" s="110">
        <v>0</v>
      </c>
      <c r="D10" s="116"/>
      <c r="E10" s="110">
        <v>14100</v>
      </c>
      <c r="F10" s="116"/>
      <c r="G10" s="69"/>
      <c r="H10" s="116"/>
      <c r="I10" s="93">
        <v>1</v>
      </c>
      <c r="J10" s="116"/>
    </row>
    <row r="11" spans="1:10" ht="15">
      <c r="A11" s="116" t="s">
        <v>108</v>
      </c>
      <c r="B11" s="116"/>
      <c r="C11" s="110">
        <v>157921</v>
      </c>
      <c r="D11" s="116"/>
      <c r="E11" s="110">
        <v>92850</v>
      </c>
      <c r="F11" s="116"/>
      <c r="G11" s="69">
        <f t="shared" si="0"/>
        <v>-65071</v>
      </c>
      <c r="H11" s="116"/>
      <c r="I11" s="93">
        <f>(E11-C11)/C11</f>
        <v>-0.4120477960499237</v>
      </c>
      <c r="J11" s="116"/>
    </row>
    <row r="12" spans="1:10" ht="15">
      <c r="A12" s="90" t="s">
        <v>136</v>
      </c>
      <c r="B12" s="116"/>
      <c r="C12" s="110">
        <v>0</v>
      </c>
      <c r="D12" s="116"/>
      <c r="E12" s="110">
        <v>1169884</v>
      </c>
      <c r="F12" s="116"/>
      <c r="G12" s="69">
        <f t="shared" si="0"/>
        <v>1169884</v>
      </c>
      <c r="H12" s="116"/>
      <c r="I12" s="93">
        <v>1</v>
      </c>
      <c r="J12" s="116"/>
    </row>
    <row r="13" spans="1:10" ht="6.75" customHeight="1">
      <c r="A13" s="116"/>
      <c r="B13" s="116"/>
      <c r="C13" s="110"/>
      <c r="D13" s="116"/>
      <c r="E13" s="110"/>
      <c r="F13" s="116"/>
      <c r="G13" s="69"/>
      <c r="H13" s="116"/>
      <c r="I13" s="93"/>
      <c r="J13" s="116"/>
    </row>
    <row r="14" spans="1:10" ht="15">
      <c r="A14" s="116" t="s">
        <v>29</v>
      </c>
      <c r="B14" s="116"/>
      <c r="C14" s="89">
        <f>SUM(C7:C12)</f>
        <v>25451456</v>
      </c>
      <c r="D14" s="86"/>
      <c r="E14" s="89">
        <f>SUM(E7:E12)</f>
        <v>25943047</v>
      </c>
      <c r="F14" s="116"/>
      <c r="G14" s="72">
        <f t="shared" si="0"/>
        <v>491591</v>
      </c>
      <c r="H14" s="116"/>
      <c r="I14" s="97">
        <f>(E14-C14)/C14</f>
        <v>1.9314847842103806E-2</v>
      </c>
      <c r="J14" s="116"/>
    </row>
    <row r="15" spans="1:10" ht="15">
      <c r="A15" s="116"/>
      <c r="B15" s="116"/>
      <c r="C15" s="81"/>
      <c r="D15" s="116"/>
      <c r="E15" s="81"/>
      <c r="F15" s="116"/>
      <c r="G15" s="74"/>
      <c r="H15" s="116"/>
      <c r="I15" s="98"/>
      <c r="J15" s="116"/>
    </row>
    <row r="16" spans="1:10" ht="15">
      <c r="A16" s="116" t="s">
        <v>30</v>
      </c>
      <c r="B16" s="116"/>
      <c r="C16" s="81">
        <v>1293019</v>
      </c>
      <c r="D16" s="116"/>
      <c r="E16" s="81">
        <v>855370</v>
      </c>
      <c r="F16" s="116"/>
      <c r="G16" s="69">
        <f>E16-C16</f>
        <v>-437649</v>
      </c>
      <c r="H16" s="116"/>
      <c r="I16" s="93">
        <f>(E16-C16)/C16</f>
        <v>-0.33847066439085582</v>
      </c>
      <c r="J16" s="116"/>
    </row>
    <row r="17" spans="1:10" ht="15">
      <c r="A17" s="116"/>
      <c r="B17" s="116"/>
      <c r="C17" s="80"/>
      <c r="D17" s="116"/>
      <c r="E17" s="80"/>
      <c r="F17" s="116"/>
      <c r="G17" s="69"/>
      <c r="H17" s="116"/>
      <c r="I17" s="93"/>
      <c r="J17" s="116"/>
    </row>
    <row r="18" spans="1:10" s="117" customFormat="1" ht="18.75" thickBot="1">
      <c r="A18" s="117" t="s">
        <v>35</v>
      </c>
      <c r="C18" s="87">
        <f>C14+C16</f>
        <v>26744475</v>
      </c>
      <c r="D18" s="88"/>
      <c r="E18" s="87">
        <f>E14+E16</f>
        <v>26798417</v>
      </c>
      <c r="G18" s="84">
        <f>G14+G16</f>
        <v>53942</v>
      </c>
      <c r="I18" s="102">
        <f>(E18-C18)/C18</f>
        <v>2.0169399474096986E-3</v>
      </c>
    </row>
    <row r="19" spans="1:10" ht="15.75" thickTop="1">
      <c r="A19" s="116"/>
      <c r="B19" s="116"/>
      <c r="C19" s="80"/>
      <c r="D19" s="116"/>
      <c r="E19" s="80"/>
      <c r="F19" s="116"/>
      <c r="G19" s="69"/>
      <c r="H19" s="116"/>
      <c r="I19" s="93"/>
      <c r="J19" s="116"/>
    </row>
    <row r="20" spans="1:10" ht="15" hidden="1">
      <c r="A20" s="116" t="s">
        <v>59</v>
      </c>
      <c r="B20" s="116"/>
      <c r="C20" s="80"/>
      <c r="D20" s="116"/>
      <c r="E20" s="80"/>
      <c r="F20" s="116"/>
      <c r="G20" s="69"/>
      <c r="H20" s="116"/>
      <c r="I20" s="93"/>
      <c r="J20" s="116"/>
    </row>
    <row r="21" spans="1:10" ht="15" hidden="1">
      <c r="A21" s="116" t="s">
        <v>109</v>
      </c>
      <c r="B21" s="116"/>
      <c r="C21" s="110">
        <v>6245919</v>
      </c>
      <c r="D21" s="116"/>
      <c r="E21" s="110">
        <v>6245919</v>
      </c>
      <c r="F21" s="116"/>
      <c r="G21" s="69">
        <f t="shared" ref="G21:G34" si="1">E21-C21</f>
        <v>0</v>
      </c>
      <c r="H21" s="116"/>
      <c r="I21" s="93">
        <f t="shared" ref="I21:I34" si="2">G21/C21</f>
        <v>0</v>
      </c>
      <c r="J21" s="116"/>
    </row>
    <row r="22" spans="1:10" ht="15" hidden="1">
      <c r="A22" s="116" t="s">
        <v>91</v>
      </c>
      <c r="B22" s="116"/>
      <c r="C22" s="110">
        <v>3396924</v>
      </c>
      <c r="D22" s="116"/>
      <c r="E22" s="110">
        <v>3396924</v>
      </c>
      <c r="F22" s="116"/>
      <c r="G22" s="69">
        <f t="shared" si="1"/>
        <v>0</v>
      </c>
      <c r="H22" s="116"/>
      <c r="I22" s="93">
        <f t="shared" si="2"/>
        <v>0</v>
      </c>
      <c r="J22" s="116"/>
    </row>
    <row r="23" spans="1:10" ht="15" hidden="1">
      <c r="A23" s="116" t="s">
        <v>92</v>
      </c>
      <c r="B23" s="116"/>
      <c r="C23" s="110">
        <v>2054035</v>
      </c>
      <c r="D23" s="116"/>
      <c r="E23" s="110">
        <v>2054035</v>
      </c>
      <c r="F23" s="116"/>
      <c r="G23" s="69">
        <f t="shared" si="1"/>
        <v>0</v>
      </c>
      <c r="H23" s="116"/>
      <c r="I23" s="93">
        <f t="shared" si="2"/>
        <v>0</v>
      </c>
      <c r="J23" s="116"/>
    </row>
    <row r="24" spans="1:10" ht="15" hidden="1">
      <c r="A24" s="116" t="s">
        <v>93</v>
      </c>
      <c r="B24" s="116"/>
      <c r="C24" s="110">
        <v>4456429</v>
      </c>
      <c r="D24" s="116"/>
      <c r="E24" s="110">
        <v>4456429</v>
      </c>
      <c r="F24" s="116"/>
      <c r="G24" s="69">
        <f t="shared" si="1"/>
        <v>0</v>
      </c>
      <c r="H24" s="116"/>
      <c r="I24" s="93">
        <f t="shared" si="2"/>
        <v>0</v>
      </c>
      <c r="J24" s="116"/>
    </row>
    <row r="25" spans="1:10" ht="15" hidden="1">
      <c r="A25" s="116" t="s">
        <v>94</v>
      </c>
      <c r="B25" s="116"/>
      <c r="C25" s="110">
        <v>2393876</v>
      </c>
      <c r="D25" s="116"/>
      <c r="E25" s="110">
        <v>2393876</v>
      </c>
      <c r="F25" s="116"/>
      <c r="G25" s="69">
        <f t="shared" si="1"/>
        <v>0</v>
      </c>
      <c r="H25" s="116"/>
      <c r="I25" s="93">
        <f t="shared" si="2"/>
        <v>0</v>
      </c>
      <c r="J25" s="116"/>
    </row>
    <row r="26" spans="1:10" ht="15" hidden="1">
      <c r="A26" s="116" t="s">
        <v>95</v>
      </c>
      <c r="B26" s="116"/>
      <c r="C26" s="110">
        <v>734488</v>
      </c>
      <c r="D26" s="116"/>
      <c r="E26" s="110">
        <v>734488</v>
      </c>
      <c r="F26" s="116"/>
      <c r="G26" s="69">
        <f t="shared" si="1"/>
        <v>0</v>
      </c>
      <c r="H26" s="116"/>
      <c r="I26" s="93">
        <f t="shared" si="2"/>
        <v>0</v>
      </c>
      <c r="J26" s="116"/>
    </row>
    <row r="27" spans="1:10" ht="15" hidden="1">
      <c r="A27" s="116" t="s">
        <v>103</v>
      </c>
      <c r="B27" s="116"/>
      <c r="C27" s="110">
        <v>100000</v>
      </c>
      <c r="D27" s="116"/>
      <c r="E27" s="110">
        <v>100000</v>
      </c>
      <c r="F27" s="116"/>
      <c r="G27" s="69">
        <f t="shared" si="1"/>
        <v>0</v>
      </c>
      <c r="H27" s="116"/>
      <c r="I27" s="93">
        <f t="shared" si="2"/>
        <v>0</v>
      </c>
      <c r="J27" s="116"/>
    </row>
    <row r="28" spans="1:10" ht="15" hidden="1">
      <c r="A28" s="116" t="s">
        <v>96</v>
      </c>
      <c r="B28" s="116"/>
      <c r="C28" s="110">
        <v>272853</v>
      </c>
      <c r="D28" s="116"/>
      <c r="E28" s="110">
        <v>272853</v>
      </c>
      <c r="F28" s="116"/>
      <c r="G28" s="69">
        <f t="shared" si="1"/>
        <v>0</v>
      </c>
      <c r="H28" s="116"/>
      <c r="I28" s="93">
        <f t="shared" si="2"/>
        <v>0</v>
      </c>
      <c r="J28" s="116"/>
    </row>
    <row r="29" spans="1:10" ht="15" hidden="1">
      <c r="A29" s="116" t="s">
        <v>97</v>
      </c>
      <c r="B29" s="116"/>
      <c r="C29" s="110">
        <v>312000</v>
      </c>
      <c r="D29" s="116"/>
      <c r="E29" s="110">
        <v>312000</v>
      </c>
      <c r="F29" s="116"/>
      <c r="G29" s="69">
        <f t="shared" si="1"/>
        <v>0</v>
      </c>
      <c r="H29" s="116"/>
      <c r="I29" s="93">
        <f t="shared" si="2"/>
        <v>0</v>
      </c>
      <c r="J29" s="116"/>
    </row>
    <row r="30" spans="1:10" ht="15" hidden="1">
      <c r="A30" s="116" t="s">
        <v>98</v>
      </c>
      <c r="B30" s="116"/>
      <c r="C30" s="110">
        <v>844148</v>
      </c>
      <c r="D30" s="116"/>
      <c r="E30" s="110">
        <v>844148</v>
      </c>
      <c r="F30" s="116"/>
      <c r="G30" s="69">
        <f t="shared" si="1"/>
        <v>0</v>
      </c>
      <c r="H30" s="116"/>
      <c r="I30" s="93">
        <f t="shared" si="2"/>
        <v>0</v>
      </c>
      <c r="J30" s="116"/>
    </row>
    <row r="31" spans="1:10" ht="15" hidden="1">
      <c r="A31" s="116" t="s">
        <v>110</v>
      </c>
      <c r="B31" s="116"/>
      <c r="C31" s="110">
        <v>595664</v>
      </c>
      <c r="D31" s="116"/>
      <c r="E31" s="110">
        <v>595664</v>
      </c>
      <c r="F31" s="116"/>
      <c r="G31" s="69">
        <f t="shared" si="1"/>
        <v>0</v>
      </c>
      <c r="H31" s="116"/>
      <c r="I31" s="93">
        <f t="shared" si="2"/>
        <v>0</v>
      </c>
      <c r="J31" s="116"/>
    </row>
    <row r="32" spans="1:10" ht="15" hidden="1">
      <c r="A32" s="116" t="s">
        <v>99</v>
      </c>
      <c r="B32" s="116"/>
      <c r="C32" s="110">
        <v>659794</v>
      </c>
      <c r="D32" s="116"/>
      <c r="E32" s="110">
        <v>659794</v>
      </c>
      <c r="F32" s="116"/>
      <c r="G32" s="69">
        <f t="shared" si="1"/>
        <v>0</v>
      </c>
      <c r="H32" s="116"/>
      <c r="I32" s="93">
        <f t="shared" si="2"/>
        <v>0</v>
      </c>
      <c r="J32" s="116"/>
    </row>
    <row r="33" spans="1:10" ht="15" hidden="1">
      <c r="A33" s="116" t="s">
        <v>100</v>
      </c>
      <c r="B33" s="116"/>
      <c r="C33" s="110">
        <v>562750</v>
      </c>
      <c r="D33" s="116"/>
      <c r="E33" s="110">
        <v>562750</v>
      </c>
      <c r="F33" s="116"/>
      <c r="G33" s="69">
        <f t="shared" si="1"/>
        <v>0</v>
      </c>
      <c r="H33" s="116"/>
      <c r="I33" s="93">
        <f t="shared" si="2"/>
        <v>0</v>
      </c>
      <c r="J33" s="116"/>
    </row>
    <row r="34" spans="1:10" ht="15.75" hidden="1" thickBot="1">
      <c r="A34" s="116" t="s">
        <v>74</v>
      </c>
      <c r="B34" s="116"/>
      <c r="C34" s="112">
        <f>SUM(C21:C33)</f>
        <v>22628880</v>
      </c>
      <c r="D34" s="116"/>
      <c r="E34" s="112">
        <f>SUM(E21:E33)</f>
        <v>22628880</v>
      </c>
      <c r="F34" s="116"/>
      <c r="G34" s="76">
        <f t="shared" si="1"/>
        <v>0</v>
      </c>
      <c r="H34" s="116"/>
      <c r="I34" s="99">
        <f t="shared" si="2"/>
        <v>0</v>
      </c>
      <c r="J34" s="116"/>
    </row>
    <row r="35" spans="1:10" ht="15">
      <c r="A35" s="116"/>
      <c r="B35" s="116"/>
      <c r="C35" s="80"/>
      <c r="D35" s="116"/>
      <c r="E35" s="80"/>
      <c r="F35" s="116"/>
      <c r="G35" s="69"/>
      <c r="H35" s="116"/>
      <c r="I35" s="93"/>
      <c r="J35" s="116"/>
    </row>
    <row r="36" spans="1:10" ht="15">
      <c r="A36" s="62" t="s">
        <v>123</v>
      </c>
      <c r="B36" s="116"/>
      <c r="C36" s="80"/>
      <c r="D36" s="116"/>
      <c r="E36" s="80"/>
      <c r="F36" s="116"/>
      <c r="G36" s="69"/>
      <c r="H36" s="116"/>
      <c r="I36" s="93"/>
      <c r="J36" s="116"/>
    </row>
    <row r="37" spans="1:10" ht="6" customHeight="1">
      <c r="A37" s="62"/>
      <c r="B37" s="116"/>
      <c r="C37" s="80"/>
      <c r="D37" s="116"/>
      <c r="E37" s="80"/>
      <c r="F37" s="116"/>
      <c r="G37" s="69"/>
      <c r="H37" s="116"/>
      <c r="I37" s="93"/>
      <c r="J37" s="116"/>
    </row>
    <row r="38" spans="1:10" ht="15">
      <c r="A38" s="116" t="s">
        <v>111</v>
      </c>
      <c r="B38" s="116"/>
      <c r="C38" s="86">
        <v>13007307</v>
      </c>
      <c r="D38" s="86"/>
      <c r="E38" s="86">
        <v>12788327</v>
      </c>
      <c r="F38" s="116"/>
      <c r="G38" s="69">
        <f t="shared" ref="G38:G46" si="3">E38-C38</f>
        <v>-218980</v>
      </c>
      <c r="H38" s="116"/>
      <c r="I38" s="93">
        <f t="shared" ref="I38:I44" si="4">(E38-C38)/C38</f>
        <v>-1.6835152733767258E-2</v>
      </c>
      <c r="J38" s="116"/>
    </row>
    <row r="39" spans="1:10" ht="15">
      <c r="A39" s="116" t="s">
        <v>112</v>
      </c>
      <c r="B39" s="116"/>
      <c r="C39" s="80">
        <v>959118</v>
      </c>
      <c r="D39" s="116"/>
      <c r="E39" s="80">
        <v>954741</v>
      </c>
      <c r="F39" s="116"/>
      <c r="G39" s="69">
        <f t="shared" si="3"/>
        <v>-4377</v>
      </c>
      <c r="H39" s="116"/>
      <c r="I39" s="93">
        <f t="shared" si="4"/>
        <v>-4.5635677778959422E-3</v>
      </c>
      <c r="J39" s="116"/>
    </row>
    <row r="40" spans="1:10" ht="15">
      <c r="A40" s="116" t="s">
        <v>113</v>
      </c>
      <c r="B40" s="116"/>
      <c r="C40" s="80">
        <f>3763809-C39</f>
        <v>2804691</v>
      </c>
      <c r="D40" s="116"/>
      <c r="E40" s="80">
        <f>3380158-E39</f>
        <v>2425417</v>
      </c>
      <c r="F40" s="116"/>
      <c r="G40" s="69">
        <f t="shared" si="3"/>
        <v>-379274</v>
      </c>
      <c r="H40" s="116"/>
      <c r="I40" s="93">
        <f t="shared" si="4"/>
        <v>-0.13522844406032608</v>
      </c>
      <c r="J40" s="116"/>
    </row>
    <row r="41" spans="1:10" ht="15">
      <c r="A41" s="116" t="s">
        <v>114</v>
      </c>
      <c r="B41" s="116"/>
      <c r="C41" s="80">
        <v>2034606</v>
      </c>
      <c r="D41" s="116"/>
      <c r="E41" s="80">
        <v>1745552</v>
      </c>
      <c r="F41" s="116"/>
      <c r="G41" s="69">
        <f t="shared" si="3"/>
        <v>-289054</v>
      </c>
      <c r="H41" s="116"/>
      <c r="I41" s="93">
        <f t="shared" si="4"/>
        <v>-0.14206878383333185</v>
      </c>
      <c r="J41" s="116"/>
    </row>
    <row r="42" spans="1:10" ht="15">
      <c r="A42" s="116" t="s">
        <v>115</v>
      </c>
      <c r="B42" s="116"/>
      <c r="C42" s="80">
        <v>2585674</v>
      </c>
      <c r="D42" s="116"/>
      <c r="E42" s="80">
        <v>2661363</v>
      </c>
      <c r="F42" s="116"/>
      <c r="G42" s="69">
        <f t="shared" si="3"/>
        <v>75689</v>
      </c>
      <c r="H42" s="116"/>
      <c r="I42" s="93">
        <f t="shared" si="4"/>
        <v>2.9272445018204151E-2</v>
      </c>
      <c r="J42" s="116"/>
    </row>
    <row r="43" spans="1:10" ht="15">
      <c r="A43" s="116" t="s">
        <v>116</v>
      </c>
      <c r="B43" s="116"/>
      <c r="C43" s="81">
        <v>4228079</v>
      </c>
      <c r="D43" s="116"/>
      <c r="E43" s="81">
        <v>4523017</v>
      </c>
      <c r="F43" s="116"/>
      <c r="G43" s="69">
        <f t="shared" si="3"/>
        <v>294938</v>
      </c>
      <c r="H43" s="116"/>
      <c r="I43" s="93">
        <f t="shared" si="4"/>
        <v>6.9756974739592137E-2</v>
      </c>
      <c r="J43" s="116"/>
    </row>
    <row r="44" spans="1:10" ht="15">
      <c r="A44" s="116" t="s">
        <v>110</v>
      </c>
      <c r="B44" s="116"/>
      <c r="C44" s="81">
        <v>1125000</v>
      </c>
      <c r="D44" s="116"/>
      <c r="E44" s="81">
        <v>1700000</v>
      </c>
      <c r="F44" s="116"/>
      <c r="G44" s="69">
        <f t="shared" si="3"/>
        <v>575000</v>
      </c>
      <c r="H44" s="116"/>
      <c r="I44" s="93">
        <f t="shared" si="4"/>
        <v>0.51111111111111107</v>
      </c>
      <c r="J44" s="116"/>
    </row>
    <row r="45" spans="1:10" ht="6" customHeight="1">
      <c r="A45" s="116"/>
      <c r="B45" s="116"/>
      <c r="C45" s="81"/>
      <c r="D45" s="116"/>
      <c r="E45" s="81"/>
      <c r="F45" s="116"/>
      <c r="G45" s="69"/>
      <c r="H45" s="116"/>
      <c r="I45" s="93"/>
      <c r="J45" s="116"/>
    </row>
    <row r="46" spans="1:10" s="117" customFormat="1" ht="18.75" thickBot="1">
      <c r="A46" s="114" t="s">
        <v>46</v>
      </c>
      <c r="C46" s="87">
        <f>SUM(C38:C44)</f>
        <v>26744475</v>
      </c>
      <c r="D46" s="88"/>
      <c r="E46" s="87">
        <f>SUM(E38:E44)</f>
        <v>26798417</v>
      </c>
      <c r="G46" s="84">
        <f t="shared" si="3"/>
        <v>53942</v>
      </c>
      <c r="I46" s="102">
        <f>(E46-C46)/C46</f>
        <v>2.0169399474096986E-3</v>
      </c>
    </row>
    <row r="47" spans="1:10" ht="15.75" thickTop="1">
      <c r="A47" s="116"/>
      <c r="B47" s="116"/>
      <c r="C47" s="80"/>
      <c r="D47" s="116"/>
      <c r="E47" s="80"/>
      <c r="F47" s="116"/>
      <c r="G47" s="69"/>
      <c r="H47" s="116"/>
      <c r="I47" s="93"/>
      <c r="J47" s="116"/>
    </row>
    <row r="48" spans="1:10" ht="15">
      <c r="A48" s="116"/>
      <c r="B48" s="116"/>
      <c r="C48" s="80"/>
      <c r="D48" s="116"/>
      <c r="E48" s="80"/>
      <c r="F48" s="116"/>
      <c r="G48" s="69"/>
      <c r="H48" s="116"/>
      <c r="I48" s="93"/>
      <c r="J48" s="116"/>
    </row>
    <row r="49" spans="1:10" ht="15">
      <c r="A49" s="116"/>
      <c r="B49" s="116"/>
      <c r="C49" s="80"/>
      <c r="D49" s="116"/>
      <c r="E49" s="80"/>
      <c r="F49" s="116"/>
      <c r="G49" s="69"/>
      <c r="H49" s="116"/>
      <c r="I49" s="93"/>
      <c r="J49" s="116"/>
    </row>
    <row r="50" spans="1:10" ht="15">
      <c r="A50" s="116"/>
      <c r="B50" s="116"/>
      <c r="C50" s="80"/>
      <c r="D50" s="116"/>
      <c r="E50" s="80"/>
      <c r="F50" s="116"/>
      <c r="G50" s="69"/>
      <c r="H50" s="116"/>
      <c r="I50" s="93"/>
      <c r="J50" s="116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
&amp;"Arial,Bold"&amp;18INSTITUTE OF TECHNOLOGY - OKMULGEE
SUMMARY OF REVENUE &amp;&amp; EXPENDITURES
Education &amp;&amp; General</oddHeader>
    <oddFooter xml:space="preserve">&amp;C 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showGridLines="0" zoomScale="85" workbookViewId="0">
      <selection activeCell="I49" sqref="I49"/>
    </sheetView>
  </sheetViews>
  <sheetFormatPr defaultRowHeight="12.75"/>
  <cols>
    <col min="1" max="1" width="54.42578125" style="44" customWidth="1"/>
    <col min="2" max="2" width="9.140625" style="44"/>
    <col min="3" max="3" width="20.7109375" style="29" customWidth="1"/>
    <col min="4" max="4" width="9.140625" style="45"/>
    <col min="5" max="5" width="20.7109375" style="29" customWidth="1"/>
    <col min="6" max="6" width="9.140625" style="45"/>
    <col min="7" max="7" width="13.5703125" style="29" hidden="1" customWidth="1"/>
    <col min="8" max="8" width="0" style="44" hidden="1" customWidth="1"/>
    <col min="9" max="9" width="16.5703125" style="33" customWidth="1"/>
    <col min="10" max="16384" width="9.140625" style="44"/>
  </cols>
  <sheetData>
    <row r="1" spans="1:10" ht="90.75" customHeight="1">
      <c r="A1" s="27"/>
      <c r="B1" s="42"/>
      <c r="C1" s="28"/>
      <c r="D1" s="43"/>
      <c r="E1" s="28"/>
      <c r="F1" s="43"/>
      <c r="G1" s="28"/>
      <c r="H1" s="42"/>
      <c r="I1" s="40"/>
    </row>
    <row r="3" spans="1:10" ht="15.75">
      <c r="C3" s="64"/>
      <c r="D3" s="64"/>
      <c r="E3" s="64"/>
      <c r="F3" s="64"/>
      <c r="G3" s="65" t="s">
        <v>47</v>
      </c>
      <c r="H3" s="63"/>
      <c r="I3" s="66" t="s">
        <v>124</v>
      </c>
    </row>
    <row r="4" spans="1:10" ht="15.75">
      <c r="C4" s="65" t="s">
        <v>130</v>
      </c>
      <c r="D4" s="64"/>
      <c r="E4" s="65" t="s">
        <v>134</v>
      </c>
      <c r="F4" s="64"/>
      <c r="G4" s="65" t="s">
        <v>49</v>
      </c>
      <c r="H4" s="63"/>
      <c r="I4" s="66" t="s">
        <v>49</v>
      </c>
    </row>
    <row r="5" spans="1:10" ht="15.75">
      <c r="C5" s="67" t="s">
        <v>48</v>
      </c>
      <c r="D5" s="64"/>
      <c r="E5" s="67" t="s">
        <v>48</v>
      </c>
      <c r="F5" s="64"/>
      <c r="G5" s="67" t="s">
        <v>50</v>
      </c>
      <c r="H5" s="63"/>
      <c r="I5" s="68" t="s">
        <v>50</v>
      </c>
    </row>
    <row r="6" spans="1:10" ht="15">
      <c r="A6" s="118" t="s">
        <v>51</v>
      </c>
      <c r="B6" s="118"/>
      <c r="C6" s="69"/>
      <c r="D6" s="119"/>
      <c r="E6" s="69"/>
      <c r="F6" s="119"/>
      <c r="G6" s="69"/>
      <c r="H6" s="118"/>
      <c r="I6" s="93"/>
      <c r="J6" s="118"/>
    </row>
    <row r="7" spans="1:10" ht="6" customHeight="1">
      <c r="A7" s="118"/>
      <c r="B7" s="118"/>
      <c r="C7" s="69"/>
      <c r="D7" s="119"/>
      <c r="E7" s="69"/>
      <c r="F7" s="119"/>
      <c r="G7" s="69"/>
      <c r="H7" s="118"/>
      <c r="I7" s="93"/>
      <c r="J7" s="118"/>
    </row>
    <row r="8" spans="1:10" ht="15">
      <c r="A8" s="118" t="s">
        <v>83</v>
      </c>
      <c r="B8" s="118"/>
      <c r="C8" s="86">
        <v>11649928</v>
      </c>
      <c r="D8" s="86"/>
      <c r="E8" s="86">
        <v>11120425</v>
      </c>
      <c r="F8" s="119"/>
      <c r="G8" s="69">
        <f t="shared" ref="G8:G16" si="0">E8-C8</f>
        <v>-529503</v>
      </c>
      <c r="H8" s="118"/>
      <c r="I8" s="93">
        <f t="shared" ref="I8:I13" si="1">(E8-C8)/C8</f>
        <v>-4.5451182187563735E-2</v>
      </c>
      <c r="J8" s="118"/>
    </row>
    <row r="9" spans="1:10" ht="15">
      <c r="A9" s="118" t="s">
        <v>105</v>
      </c>
      <c r="B9" s="118"/>
      <c r="C9" s="96">
        <f>3887415+1677565+305040</f>
        <v>5870020</v>
      </c>
      <c r="D9" s="119"/>
      <c r="E9" s="96">
        <v>5991340</v>
      </c>
      <c r="F9" s="119"/>
      <c r="G9" s="69">
        <f t="shared" si="0"/>
        <v>121320</v>
      </c>
      <c r="H9" s="118"/>
      <c r="I9" s="93">
        <f t="shared" si="1"/>
        <v>2.0667731966841681E-2</v>
      </c>
      <c r="J9" s="118"/>
    </row>
    <row r="10" spans="1:10" ht="15">
      <c r="A10" s="118" t="s">
        <v>117</v>
      </c>
      <c r="B10" s="118"/>
      <c r="C10" s="96">
        <f>1900675+900000</f>
        <v>2800675</v>
      </c>
      <c r="D10" s="119"/>
      <c r="E10" s="96">
        <f>1720895+850000</f>
        <v>2570895</v>
      </c>
      <c r="F10" s="119"/>
      <c r="G10" s="69">
        <f t="shared" si="0"/>
        <v>-229780</v>
      </c>
      <c r="H10" s="118"/>
      <c r="I10" s="93">
        <f t="shared" si="1"/>
        <v>-8.2044507127745983E-2</v>
      </c>
      <c r="J10" s="118"/>
    </row>
    <row r="11" spans="1:10" ht="15">
      <c r="A11" s="118" t="s">
        <v>118</v>
      </c>
      <c r="B11" s="118"/>
      <c r="C11" s="96">
        <v>1225000</v>
      </c>
      <c r="D11" s="119"/>
      <c r="E11" s="96">
        <v>1225000</v>
      </c>
      <c r="F11" s="119"/>
      <c r="G11" s="69">
        <f t="shared" si="0"/>
        <v>0</v>
      </c>
      <c r="H11" s="118"/>
      <c r="I11" s="93">
        <f t="shared" si="1"/>
        <v>0</v>
      </c>
      <c r="J11" s="118"/>
    </row>
    <row r="12" spans="1:10" ht="15">
      <c r="A12" s="116" t="s">
        <v>107</v>
      </c>
      <c r="B12" s="118"/>
      <c r="C12" s="96">
        <v>3935000</v>
      </c>
      <c r="D12" s="119"/>
      <c r="E12" s="96">
        <f>4165000-E13</f>
        <v>4135000</v>
      </c>
      <c r="F12" s="119"/>
      <c r="G12" s="69">
        <f t="shared" si="0"/>
        <v>200000</v>
      </c>
      <c r="H12" s="118"/>
      <c r="I12" s="93">
        <f t="shared" si="1"/>
        <v>5.0825921219822108E-2</v>
      </c>
      <c r="J12" s="118"/>
    </row>
    <row r="13" spans="1:10" ht="15">
      <c r="A13" s="118" t="s">
        <v>108</v>
      </c>
      <c r="B13" s="118"/>
      <c r="C13" s="96">
        <f>3965000-C12</f>
        <v>30000</v>
      </c>
      <c r="D13" s="119"/>
      <c r="E13" s="96">
        <v>30000</v>
      </c>
      <c r="F13" s="119"/>
      <c r="G13" s="69">
        <f t="shared" si="0"/>
        <v>0</v>
      </c>
      <c r="H13" s="118"/>
      <c r="I13" s="93">
        <f t="shared" si="1"/>
        <v>0</v>
      </c>
      <c r="J13" s="118"/>
    </row>
    <row r="14" spans="1:10" ht="15">
      <c r="A14" s="90" t="s">
        <v>136</v>
      </c>
      <c r="B14" s="118"/>
      <c r="C14" s="96">
        <v>0</v>
      </c>
      <c r="D14" s="119"/>
      <c r="E14" s="96">
        <v>885037</v>
      </c>
      <c r="F14" s="119"/>
      <c r="G14" s="69"/>
      <c r="H14" s="118"/>
      <c r="I14" s="93">
        <v>1</v>
      </c>
      <c r="J14" s="118"/>
    </row>
    <row r="15" spans="1:10" ht="5.25" customHeight="1">
      <c r="A15" s="118"/>
      <c r="B15" s="118"/>
      <c r="C15" s="96"/>
      <c r="D15" s="119"/>
      <c r="E15" s="96"/>
      <c r="F15" s="119"/>
      <c r="G15" s="69"/>
      <c r="H15" s="118"/>
      <c r="I15" s="95"/>
      <c r="J15" s="118"/>
    </row>
    <row r="16" spans="1:10" ht="15">
      <c r="A16" s="118" t="s">
        <v>29</v>
      </c>
      <c r="B16" s="118"/>
      <c r="C16" s="89">
        <f>SUM(C8:C14)</f>
        <v>25510623</v>
      </c>
      <c r="D16" s="86"/>
      <c r="E16" s="89">
        <f>SUM(E8:E14)</f>
        <v>25957697</v>
      </c>
      <c r="F16" s="119"/>
      <c r="G16" s="72">
        <f t="shared" si="0"/>
        <v>447074</v>
      </c>
      <c r="H16" s="118"/>
      <c r="I16" s="93">
        <f>(E16-C16)/C16</f>
        <v>1.7525013011246336E-2</v>
      </c>
      <c r="J16" s="118"/>
    </row>
    <row r="17" spans="1:10" ht="15">
      <c r="A17" s="118"/>
      <c r="B17" s="118"/>
      <c r="C17" s="69"/>
      <c r="D17" s="119"/>
      <c r="E17" s="69"/>
      <c r="F17" s="119"/>
      <c r="G17" s="69"/>
      <c r="H17" s="118"/>
      <c r="I17" s="93"/>
      <c r="J17" s="118"/>
    </row>
    <row r="18" spans="1:10" ht="15">
      <c r="A18" s="118" t="s">
        <v>30</v>
      </c>
      <c r="B18" s="118"/>
      <c r="C18" s="96">
        <v>850000</v>
      </c>
      <c r="D18" s="119"/>
      <c r="E18" s="96">
        <v>850000</v>
      </c>
      <c r="F18" s="119"/>
      <c r="G18" s="69">
        <f>E18-C18</f>
        <v>0</v>
      </c>
      <c r="H18" s="118"/>
      <c r="I18" s="93">
        <f>(E18-C18)/C18</f>
        <v>0</v>
      </c>
      <c r="J18" s="118"/>
    </row>
    <row r="19" spans="1:10" ht="15">
      <c r="A19" s="118"/>
      <c r="B19" s="118"/>
      <c r="C19" s="96"/>
      <c r="D19" s="119"/>
      <c r="E19" s="96"/>
      <c r="F19" s="119"/>
      <c r="G19" s="69"/>
      <c r="H19" s="118"/>
      <c r="I19" s="93"/>
      <c r="J19" s="118"/>
    </row>
    <row r="20" spans="1:10" s="120" customFormat="1" ht="18.75" thickBot="1">
      <c r="A20" s="120" t="s">
        <v>35</v>
      </c>
      <c r="C20" s="87">
        <f>SUM(C16:C18)</f>
        <v>26360623</v>
      </c>
      <c r="D20" s="88"/>
      <c r="E20" s="87">
        <f>SUM(E16:E18)</f>
        <v>26807697</v>
      </c>
      <c r="F20" s="121"/>
      <c r="G20" s="84">
        <f>E20-C20</f>
        <v>447074</v>
      </c>
      <c r="I20" s="102">
        <f>(E20-C20)/C20</f>
        <v>1.6959917828952675E-2</v>
      </c>
    </row>
    <row r="21" spans="1:10" ht="15.75" thickTop="1">
      <c r="A21" s="118"/>
      <c r="B21" s="118"/>
      <c r="C21" s="69"/>
      <c r="D21" s="119"/>
      <c r="E21" s="69"/>
      <c r="F21" s="119"/>
      <c r="G21" s="69"/>
      <c r="H21" s="118"/>
      <c r="I21" s="93"/>
      <c r="J21" s="118"/>
    </row>
    <row r="22" spans="1:10" ht="15" hidden="1">
      <c r="A22" s="118" t="s">
        <v>59</v>
      </c>
      <c r="B22" s="118"/>
      <c r="C22" s="69"/>
      <c r="D22" s="119"/>
      <c r="E22" s="69"/>
      <c r="F22" s="119"/>
      <c r="G22" s="69"/>
      <c r="H22" s="118"/>
      <c r="I22" s="93"/>
      <c r="J22" s="118"/>
    </row>
    <row r="23" spans="1:10" ht="15" hidden="1">
      <c r="A23" s="118" t="s">
        <v>109</v>
      </c>
      <c r="B23" s="118"/>
      <c r="C23" s="96">
        <v>4142743</v>
      </c>
      <c r="D23" s="119"/>
      <c r="E23" s="96">
        <v>4142743</v>
      </c>
      <c r="F23" s="119"/>
      <c r="G23" s="69">
        <f t="shared" ref="G23:G36" si="2">E23-C23</f>
        <v>0</v>
      </c>
      <c r="H23" s="118"/>
      <c r="I23" s="93">
        <f t="shared" ref="I23:I36" si="3">G23/C23</f>
        <v>0</v>
      </c>
      <c r="J23" s="118"/>
    </row>
    <row r="24" spans="1:10" ht="15" hidden="1">
      <c r="A24" s="118" t="s">
        <v>91</v>
      </c>
      <c r="B24" s="118"/>
      <c r="C24" s="96">
        <v>4721053</v>
      </c>
      <c r="D24" s="119"/>
      <c r="E24" s="96">
        <v>4721053</v>
      </c>
      <c r="F24" s="119"/>
      <c r="G24" s="69">
        <f t="shared" si="2"/>
        <v>0</v>
      </c>
      <c r="H24" s="118"/>
      <c r="I24" s="93">
        <f t="shared" si="3"/>
        <v>0</v>
      </c>
      <c r="J24" s="118"/>
    </row>
    <row r="25" spans="1:10" ht="15" hidden="1">
      <c r="A25" s="118" t="s">
        <v>92</v>
      </c>
      <c r="B25" s="118"/>
      <c r="C25" s="96">
        <v>2551073</v>
      </c>
      <c r="D25" s="119"/>
      <c r="E25" s="96">
        <v>2551073</v>
      </c>
      <c r="F25" s="119"/>
      <c r="G25" s="69">
        <f t="shared" si="2"/>
        <v>0</v>
      </c>
      <c r="H25" s="118"/>
      <c r="I25" s="93">
        <f t="shared" si="3"/>
        <v>0</v>
      </c>
      <c r="J25" s="118"/>
    </row>
    <row r="26" spans="1:10" ht="15" hidden="1">
      <c r="A26" s="118" t="s">
        <v>93</v>
      </c>
      <c r="B26" s="118"/>
      <c r="C26" s="96">
        <v>3569471</v>
      </c>
      <c r="D26" s="119"/>
      <c r="E26" s="96">
        <v>3569471</v>
      </c>
      <c r="F26" s="119"/>
      <c r="G26" s="69">
        <f t="shared" si="2"/>
        <v>0</v>
      </c>
      <c r="H26" s="118"/>
      <c r="I26" s="93">
        <f t="shared" si="3"/>
        <v>0</v>
      </c>
      <c r="J26" s="118"/>
    </row>
    <row r="27" spans="1:10" ht="15" hidden="1">
      <c r="A27" s="118" t="s">
        <v>94</v>
      </c>
      <c r="B27" s="118"/>
      <c r="C27" s="96">
        <v>2994210</v>
      </c>
      <c r="D27" s="119"/>
      <c r="E27" s="96">
        <v>2994210</v>
      </c>
      <c r="F27" s="119"/>
      <c r="G27" s="69">
        <f t="shared" si="2"/>
        <v>0</v>
      </c>
      <c r="H27" s="118"/>
      <c r="I27" s="93">
        <f t="shared" si="3"/>
        <v>0</v>
      </c>
      <c r="J27" s="118"/>
    </row>
    <row r="28" spans="1:10" ht="15" hidden="1">
      <c r="A28" s="118" t="s">
        <v>95</v>
      </c>
      <c r="B28" s="118"/>
      <c r="C28" s="96">
        <v>1008162</v>
      </c>
      <c r="D28" s="119"/>
      <c r="E28" s="96">
        <v>1008162</v>
      </c>
      <c r="F28" s="119"/>
      <c r="G28" s="69">
        <f t="shared" si="2"/>
        <v>0</v>
      </c>
      <c r="H28" s="118"/>
      <c r="I28" s="93">
        <f t="shared" si="3"/>
        <v>0</v>
      </c>
      <c r="J28" s="118"/>
    </row>
    <row r="29" spans="1:10" ht="15" hidden="1">
      <c r="A29" s="118" t="s">
        <v>103</v>
      </c>
      <c r="B29" s="118"/>
      <c r="C29" s="96">
        <v>20192</v>
      </c>
      <c r="D29" s="119"/>
      <c r="E29" s="96">
        <v>20192</v>
      </c>
      <c r="F29" s="119"/>
      <c r="G29" s="69">
        <f t="shared" si="2"/>
        <v>0</v>
      </c>
      <c r="H29" s="118"/>
      <c r="I29" s="93">
        <f t="shared" si="3"/>
        <v>0</v>
      </c>
      <c r="J29" s="118"/>
    </row>
    <row r="30" spans="1:10" ht="15" hidden="1">
      <c r="A30" s="118" t="s">
        <v>96</v>
      </c>
      <c r="B30" s="118"/>
      <c r="C30" s="96">
        <v>141224</v>
      </c>
      <c r="D30" s="119"/>
      <c r="E30" s="96">
        <v>141224</v>
      </c>
      <c r="F30" s="119"/>
      <c r="G30" s="69">
        <f t="shared" si="2"/>
        <v>0</v>
      </c>
      <c r="H30" s="118"/>
      <c r="I30" s="93">
        <f t="shared" si="3"/>
        <v>0</v>
      </c>
      <c r="J30" s="118"/>
    </row>
    <row r="31" spans="1:10" ht="15" hidden="1">
      <c r="A31" s="118" t="s">
        <v>97</v>
      </c>
      <c r="B31" s="118"/>
      <c r="C31" s="96">
        <v>221630</v>
      </c>
      <c r="D31" s="119"/>
      <c r="E31" s="96">
        <v>221630</v>
      </c>
      <c r="F31" s="119"/>
      <c r="G31" s="69">
        <f t="shared" si="2"/>
        <v>0</v>
      </c>
      <c r="H31" s="118"/>
      <c r="I31" s="93">
        <f t="shared" si="3"/>
        <v>0</v>
      </c>
      <c r="J31" s="118"/>
    </row>
    <row r="32" spans="1:10" ht="15" hidden="1">
      <c r="A32" s="118" t="s">
        <v>98</v>
      </c>
      <c r="B32" s="118"/>
      <c r="C32" s="96">
        <v>1470537</v>
      </c>
      <c r="D32" s="119"/>
      <c r="E32" s="96">
        <v>1470537</v>
      </c>
      <c r="F32" s="119"/>
      <c r="G32" s="69">
        <f t="shared" si="2"/>
        <v>0</v>
      </c>
      <c r="H32" s="118"/>
      <c r="I32" s="93">
        <f t="shared" si="3"/>
        <v>0</v>
      </c>
      <c r="J32" s="118"/>
    </row>
    <row r="33" spans="1:10" ht="15" hidden="1">
      <c r="A33" s="118" t="s">
        <v>110</v>
      </c>
      <c r="B33" s="118"/>
      <c r="C33" s="96">
        <v>30000</v>
      </c>
      <c r="D33" s="119"/>
      <c r="E33" s="96">
        <v>30000</v>
      </c>
      <c r="F33" s="119"/>
      <c r="G33" s="69">
        <f t="shared" si="2"/>
        <v>0</v>
      </c>
      <c r="H33" s="118"/>
      <c r="I33" s="93">
        <f t="shared" si="3"/>
        <v>0</v>
      </c>
      <c r="J33" s="118"/>
    </row>
    <row r="34" spans="1:10" ht="15" hidden="1">
      <c r="A34" s="118" t="s">
        <v>99</v>
      </c>
      <c r="B34" s="118"/>
      <c r="C34" s="96">
        <v>1159295</v>
      </c>
      <c r="D34" s="119"/>
      <c r="E34" s="96">
        <v>1159295</v>
      </c>
      <c r="F34" s="119"/>
      <c r="G34" s="69">
        <f t="shared" si="2"/>
        <v>0</v>
      </c>
      <c r="H34" s="118"/>
      <c r="I34" s="93">
        <f t="shared" si="3"/>
        <v>0</v>
      </c>
      <c r="J34" s="118"/>
    </row>
    <row r="35" spans="1:10" ht="15" hidden="1">
      <c r="A35" s="118" t="s">
        <v>100</v>
      </c>
      <c r="B35" s="118"/>
      <c r="C35" s="96">
        <v>548883</v>
      </c>
      <c r="D35" s="119"/>
      <c r="E35" s="96">
        <v>548883</v>
      </c>
      <c r="F35" s="119"/>
      <c r="G35" s="69">
        <f t="shared" si="2"/>
        <v>0</v>
      </c>
      <c r="H35" s="118"/>
      <c r="I35" s="93">
        <f t="shared" si="3"/>
        <v>0</v>
      </c>
      <c r="J35" s="118"/>
    </row>
    <row r="36" spans="1:10" ht="15.75" hidden="1" thickBot="1">
      <c r="A36" s="118" t="s">
        <v>74</v>
      </c>
      <c r="B36" s="118"/>
      <c r="C36" s="76">
        <f>SUM(C23:C35)</f>
        <v>22578473</v>
      </c>
      <c r="D36" s="119"/>
      <c r="E36" s="76">
        <f>SUM(E23:E35)</f>
        <v>22578473</v>
      </c>
      <c r="F36" s="119"/>
      <c r="G36" s="76">
        <f t="shared" si="2"/>
        <v>0</v>
      </c>
      <c r="H36" s="118"/>
      <c r="I36" s="99">
        <f t="shared" si="3"/>
        <v>0</v>
      </c>
      <c r="J36" s="118"/>
    </row>
    <row r="37" spans="1:10" ht="15">
      <c r="A37" s="118"/>
      <c r="B37" s="118"/>
      <c r="C37" s="69"/>
      <c r="D37" s="119"/>
      <c r="E37" s="69"/>
      <c r="F37" s="119"/>
      <c r="G37" s="69"/>
      <c r="H37" s="118"/>
      <c r="I37" s="93"/>
      <c r="J37" s="118"/>
    </row>
    <row r="38" spans="1:10" ht="15">
      <c r="A38" s="62" t="s">
        <v>123</v>
      </c>
      <c r="B38" s="118"/>
      <c r="C38" s="69"/>
      <c r="D38" s="119"/>
      <c r="E38" s="69"/>
      <c r="F38" s="119"/>
      <c r="G38" s="69"/>
      <c r="H38" s="118"/>
      <c r="I38" s="93"/>
      <c r="J38" s="118"/>
    </row>
    <row r="39" spans="1:10" ht="5.25" customHeight="1">
      <c r="A39" s="118"/>
      <c r="B39" s="118"/>
      <c r="C39" s="69"/>
      <c r="D39" s="119"/>
      <c r="E39" s="69"/>
      <c r="F39" s="119"/>
      <c r="G39" s="69"/>
      <c r="H39" s="118"/>
      <c r="I39" s="93"/>
      <c r="J39" s="118"/>
    </row>
    <row r="40" spans="1:10" ht="15">
      <c r="A40" s="118" t="s">
        <v>111</v>
      </c>
      <c r="B40" s="118"/>
      <c r="C40" s="86">
        <v>7954004</v>
      </c>
      <c r="D40" s="86"/>
      <c r="E40" s="86">
        <v>8165142</v>
      </c>
      <c r="F40" s="119"/>
      <c r="G40" s="69">
        <f t="shared" ref="G40:G49" si="4">E40-C40</f>
        <v>211138</v>
      </c>
      <c r="H40" s="118"/>
      <c r="I40" s="93">
        <f t="shared" ref="I40:I47" si="5">(E40-C40)/C40</f>
        <v>2.6544869728504034E-2</v>
      </c>
      <c r="J40" s="118"/>
    </row>
    <row r="41" spans="1:10" ht="15">
      <c r="A41" s="118" t="s">
        <v>119</v>
      </c>
      <c r="B41" s="118"/>
      <c r="C41" s="80">
        <v>4822184</v>
      </c>
      <c r="D41" s="119"/>
      <c r="E41" s="80">
        <v>4716616</v>
      </c>
      <c r="F41" s="119"/>
      <c r="G41" s="69">
        <f t="shared" si="4"/>
        <v>-105568</v>
      </c>
      <c r="H41" s="118"/>
      <c r="I41" s="93">
        <f t="shared" si="5"/>
        <v>-2.1892155089892878E-2</v>
      </c>
      <c r="J41" s="118"/>
    </row>
    <row r="42" spans="1:10" ht="15">
      <c r="A42" s="118" t="s">
        <v>120</v>
      </c>
      <c r="B42" s="118"/>
      <c r="C42" s="80">
        <v>8338594</v>
      </c>
      <c r="D42" s="119"/>
      <c r="E42" s="80">
        <v>8750384</v>
      </c>
      <c r="F42" s="119"/>
      <c r="G42" s="69">
        <f t="shared" si="4"/>
        <v>411790</v>
      </c>
      <c r="H42" s="118"/>
      <c r="I42" s="93">
        <f t="shared" si="5"/>
        <v>4.9383625105143623E-2</v>
      </c>
      <c r="J42" s="118"/>
    </row>
    <row r="43" spans="1:10" ht="15">
      <c r="A43" s="118" t="s">
        <v>113</v>
      </c>
      <c r="B43" s="118"/>
      <c r="C43" s="80">
        <v>1464186</v>
      </c>
      <c r="D43" s="119"/>
      <c r="E43" s="80">
        <v>1509542</v>
      </c>
      <c r="F43" s="119"/>
      <c r="G43" s="69">
        <f t="shared" si="4"/>
        <v>45356</v>
      </c>
      <c r="H43" s="118"/>
      <c r="I43" s="93">
        <f t="shared" si="5"/>
        <v>3.0976938722266159E-2</v>
      </c>
      <c r="J43" s="118"/>
    </row>
    <row r="44" spans="1:10" ht="15">
      <c r="A44" s="118" t="s">
        <v>114</v>
      </c>
      <c r="B44" s="118"/>
      <c r="C44" s="80">
        <v>119354</v>
      </c>
      <c r="D44" s="119"/>
      <c r="E44" s="80">
        <v>119867</v>
      </c>
      <c r="F44" s="119"/>
      <c r="G44" s="69">
        <f t="shared" si="4"/>
        <v>513</v>
      </c>
      <c r="H44" s="118"/>
      <c r="I44" s="93">
        <f t="shared" si="5"/>
        <v>4.2981383112421874E-3</v>
      </c>
      <c r="J44" s="118"/>
    </row>
    <row r="45" spans="1:10" ht="15">
      <c r="A45" s="118" t="s">
        <v>115</v>
      </c>
      <c r="B45" s="118"/>
      <c r="C45" s="80">
        <v>614568</v>
      </c>
      <c r="D45" s="119"/>
      <c r="E45" s="80">
        <v>637567</v>
      </c>
      <c r="F45" s="119"/>
      <c r="G45" s="69">
        <f t="shared" si="4"/>
        <v>22999</v>
      </c>
      <c r="H45" s="118"/>
      <c r="I45" s="93">
        <f t="shared" si="5"/>
        <v>3.7423035367933247E-2</v>
      </c>
      <c r="J45" s="118"/>
    </row>
    <row r="46" spans="1:10" ht="15">
      <c r="A46" s="118" t="s">
        <v>116</v>
      </c>
      <c r="B46" s="118"/>
      <c r="C46" s="81">
        <v>3017733</v>
      </c>
      <c r="D46" s="119"/>
      <c r="E46" s="81">
        <v>2878579</v>
      </c>
      <c r="F46" s="119"/>
      <c r="G46" s="69">
        <f t="shared" si="4"/>
        <v>-139154</v>
      </c>
      <c r="H46" s="118"/>
      <c r="I46" s="93">
        <f t="shared" si="5"/>
        <v>-4.6112098055063187E-2</v>
      </c>
      <c r="J46" s="118"/>
    </row>
    <row r="47" spans="1:10" ht="15">
      <c r="A47" s="118" t="s">
        <v>110</v>
      </c>
      <c r="B47" s="118"/>
      <c r="C47" s="81">
        <v>30000</v>
      </c>
      <c r="D47" s="119"/>
      <c r="E47" s="81">
        <v>30000</v>
      </c>
      <c r="F47" s="119"/>
      <c r="G47" s="69">
        <f t="shared" si="4"/>
        <v>0</v>
      </c>
      <c r="H47" s="118"/>
      <c r="I47" s="93">
        <f t="shared" si="5"/>
        <v>0</v>
      </c>
      <c r="J47" s="118"/>
    </row>
    <row r="48" spans="1:10" ht="6.75" customHeight="1">
      <c r="A48" s="118"/>
      <c r="B48" s="118"/>
      <c r="C48" s="81"/>
      <c r="D48" s="119"/>
      <c r="E48" s="81"/>
      <c r="F48" s="119"/>
      <c r="G48" s="69"/>
      <c r="H48" s="118"/>
      <c r="I48" s="93"/>
      <c r="J48" s="118"/>
    </row>
    <row r="49" spans="1:10" s="120" customFormat="1" ht="18.75" thickBot="1">
      <c r="A49" s="114" t="s">
        <v>46</v>
      </c>
      <c r="C49" s="87">
        <f>SUM(C40:C47)</f>
        <v>26360623</v>
      </c>
      <c r="D49" s="88"/>
      <c r="E49" s="87">
        <f>SUM(E40:E47)</f>
        <v>26807697</v>
      </c>
      <c r="F49" s="121"/>
      <c r="G49" s="84">
        <f t="shared" si="4"/>
        <v>447074</v>
      </c>
      <c r="I49" s="102">
        <f>(E49-C49)/C49</f>
        <v>1.6959917828952675E-2</v>
      </c>
    </row>
    <row r="50" spans="1:10" ht="15.75" thickTop="1">
      <c r="A50" s="118"/>
      <c r="B50" s="118"/>
      <c r="C50" s="69"/>
      <c r="D50" s="119"/>
      <c r="E50" s="69"/>
      <c r="F50" s="119"/>
      <c r="G50" s="69"/>
      <c r="H50" s="118"/>
      <c r="I50" s="93"/>
      <c r="J50" s="118"/>
    </row>
    <row r="51" spans="1:10" ht="15">
      <c r="A51" s="118"/>
      <c r="B51" s="118"/>
      <c r="C51" s="69"/>
      <c r="D51" s="119"/>
      <c r="E51" s="69"/>
      <c r="F51" s="119"/>
      <c r="G51" s="69"/>
      <c r="H51" s="118"/>
      <c r="I51" s="93"/>
      <c r="J51" s="118"/>
    </row>
    <row r="52" spans="1:10" ht="15">
      <c r="A52" s="118"/>
      <c r="B52" s="118"/>
      <c r="C52" s="69"/>
      <c r="D52" s="119"/>
      <c r="E52" s="69"/>
      <c r="F52" s="119"/>
      <c r="G52" s="69"/>
      <c r="H52" s="118"/>
      <c r="I52" s="93"/>
      <c r="J52" s="118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
&amp;"Arial,Bold"&amp;18CENTER FOR VETERINARY HEALTH SCIENCES
SUMMARY OF REVENUE &amp;&amp; EXPENDITURES
Education &amp;&amp; General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showGridLines="0" topLeftCell="A4" zoomScale="85" workbookViewId="0">
      <selection activeCell="I45" sqref="I45"/>
    </sheetView>
  </sheetViews>
  <sheetFormatPr defaultRowHeight="12.75"/>
  <cols>
    <col min="1" max="1" width="54.42578125" style="48" customWidth="1"/>
    <col min="2" max="2" width="9.140625" style="48"/>
    <col min="3" max="3" width="20.7109375" style="29" customWidth="1"/>
    <col min="4" max="4" width="9.140625" style="49"/>
    <col min="5" max="5" width="20.7109375" style="29" customWidth="1"/>
    <col min="6" max="6" width="9.140625" style="49"/>
    <col min="7" max="7" width="13.5703125" style="29" hidden="1" customWidth="1"/>
    <col min="8" max="8" width="0" style="48" hidden="1" customWidth="1"/>
    <col min="9" max="9" width="16.5703125" style="33" customWidth="1"/>
    <col min="10" max="16384" width="9.140625" style="48"/>
  </cols>
  <sheetData>
    <row r="1" spans="1:12" ht="90.75" customHeight="1">
      <c r="A1" s="27"/>
      <c r="B1" s="46"/>
      <c r="C1" s="28"/>
      <c r="D1" s="47"/>
      <c r="E1" s="28"/>
      <c r="F1" s="47"/>
      <c r="G1" s="28"/>
      <c r="H1" s="46"/>
      <c r="I1" s="40"/>
    </row>
    <row r="2" spans="1:12" ht="15.75">
      <c r="C2" s="64"/>
      <c r="D2" s="64"/>
      <c r="E2" s="64"/>
      <c r="F2" s="64"/>
      <c r="G2" s="65" t="s">
        <v>47</v>
      </c>
      <c r="H2" s="63"/>
      <c r="I2" s="66" t="s">
        <v>124</v>
      </c>
    </row>
    <row r="3" spans="1:12" ht="15.75"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</row>
    <row r="4" spans="1:12" ht="15.75"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</row>
    <row r="5" spans="1:12" ht="15">
      <c r="A5" s="122" t="s">
        <v>51</v>
      </c>
      <c r="B5" s="122"/>
      <c r="C5" s="69"/>
      <c r="D5" s="123"/>
      <c r="E5" s="69"/>
      <c r="F5" s="123"/>
      <c r="G5" s="69"/>
      <c r="H5" s="122"/>
      <c r="I5" s="93"/>
      <c r="J5" s="122"/>
    </row>
    <row r="6" spans="1:12" ht="6" customHeight="1">
      <c r="A6" s="122"/>
      <c r="B6" s="122"/>
      <c r="C6" s="69"/>
      <c r="D6" s="123"/>
      <c r="E6" s="69"/>
      <c r="F6" s="123"/>
      <c r="G6" s="69"/>
      <c r="H6" s="122"/>
      <c r="I6" s="93"/>
      <c r="J6" s="122"/>
    </row>
    <row r="7" spans="1:12" ht="15">
      <c r="A7" s="122" t="s">
        <v>83</v>
      </c>
      <c r="B7" s="122"/>
      <c r="C7" s="86">
        <v>11684601</v>
      </c>
      <c r="D7" s="86"/>
      <c r="E7" s="86">
        <v>11404027</v>
      </c>
      <c r="F7" s="123"/>
      <c r="G7" s="69">
        <f>E7-C7</f>
        <v>-280574</v>
      </c>
      <c r="H7" s="122"/>
      <c r="I7" s="93">
        <f>(E7-C7)/C7</f>
        <v>-2.401228762539688E-2</v>
      </c>
      <c r="J7" s="122"/>
    </row>
    <row r="8" spans="1:12" ht="15">
      <c r="A8" s="122" t="s">
        <v>105</v>
      </c>
      <c r="B8" s="122"/>
      <c r="C8" s="69">
        <f>8629110+725450+1651212</f>
        <v>11005772</v>
      </c>
      <c r="D8" s="123"/>
      <c r="E8" s="69">
        <v>11484772</v>
      </c>
      <c r="F8" s="123"/>
      <c r="G8" s="69">
        <f>E8-C8</f>
        <v>479000</v>
      </c>
      <c r="H8" s="122"/>
      <c r="I8" s="93">
        <f>(E8-C8)/C8</f>
        <v>4.3522617041312502E-2</v>
      </c>
      <c r="J8" s="122"/>
      <c r="L8" s="50"/>
    </row>
    <row r="9" spans="1:12" ht="15">
      <c r="A9" s="122" t="s">
        <v>106</v>
      </c>
      <c r="B9" s="122"/>
      <c r="C9" s="69">
        <f>195568+5515</f>
        <v>201083</v>
      </c>
      <c r="D9" s="123"/>
      <c r="E9" s="69">
        <f>172651+5515</f>
        <v>178166</v>
      </c>
      <c r="F9" s="123"/>
      <c r="G9" s="69">
        <f>E9-C9</f>
        <v>-22917</v>
      </c>
      <c r="H9" s="122"/>
      <c r="I9" s="93">
        <f>(E9-C9)/C9</f>
        <v>-0.11396786401635145</v>
      </c>
      <c r="J9" s="122"/>
      <c r="L9" s="50"/>
    </row>
    <row r="10" spans="1:12" ht="15">
      <c r="A10" s="122" t="s">
        <v>108</v>
      </c>
      <c r="B10" s="122"/>
      <c r="C10" s="69">
        <v>233544</v>
      </c>
      <c r="D10" s="123"/>
      <c r="E10" s="69">
        <v>230364</v>
      </c>
      <c r="F10" s="123"/>
      <c r="G10" s="69">
        <f>E10-C10</f>
        <v>-3180</v>
      </c>
      <c r="H10" s="122"/>
      <c r="I10" s="93">
        <f>(E10-C10)/C10</f>
        <v>-1.3616277874833008E-2</v>
      </c>
      <c r="J10" s="122"/>
      <c r="L10" s="50"/>
    </row>
    <row r="11" spans="1:12" ht="15">
      <c r="A11" s="90" t="s">
        <v>136</v>
      </c>
      <c r="B11" s="122"/>
      <c r="C11" s="69">
        <v>0</v>
      </c>
      <c r="D11" s="123"/>
      <c r="E11" s="69">
        <v>887671</v>
      </c>
      <c r="F11" s="123"/>
      <c r="G11" s="69">
        <f>E11-C11</f>
        <v>887671</v>
      </c>
      <c r="H11" s="122"/>
      <c r="I11" s="93">
        <v>1</v>
      </c>
      <c r="J11" s="122"/>
      <c r="L11" s="50"/>
    </row>
    <row r="12" spans="1:12" ht="6" customHeight="1">
      <c r="A12" s="122"/>
      <c r="B12" s="122"/>
      <c r="C12" s="69"/>
      <c r="D12" s="123"/>
      <c r="E12" s="69"/>
      <c r="F12" s="123"/>
      <c r="G12" s="69"/>
      <c r="H12" s="122"/>
      <c r="I12" s="93"/>
      <c r="J12" s="122"/>
      <c r="L12" s="50"/>
    </row>
    <row r="13" spans="1:12" ht="15">
      <c r="A13" s="122" t="s">
        <v>29</v>
      </c>
      <c r="B13" s="122"/>
      <c r="C13" s="89">
        <f>SUM(C7:C11)</f>
        <v>23125000</v>
      </c>
      <c r="D13" s="86"/>
      <c r="E13" s="89">
        <f>SUM(E7:E11)</f>
        <v>24185000</v>
      </c>
      <c r="F13" s="123"/>
      <c r="G13" s="72">
        <f>E13-C13</f>
        <v>1060000</v>
      </c>
      <c r="H13" s="122"/>
      <c r="I13" s="97">
        <f>(E13-C13)/C13</f>
        <v>4.583783783783784E-2</v>
      </c>
      <c r="J13" s="122"/>
    </row>
    <row r="14" spans="1:12" ht="15">
      <c r="A14" s="122"/>
      <c r="B14" s="122"/>
      <c r="C14" s="69"/>
      <c r="D14" s="123"/>
      <c r="E14" s="69"/>
      <c r="F14" s="123"/>
      <c r="G14" s="69"/>
      <c r="H14" s="122"/>
      <c r="I14" s="93"/>
      <c r="J14" s="122"/>
      <c r="L14" s="50"/>
    </row>
    <row r="15" spans="1:12" ht="15">
      <c r="A15" s="122" t="s">
        <v>30</v>
      </c>
      <c r="B15" s="122"/>
      <c r="C15" s="69">
        <v>500000</v>
      </c>
      <c r="D15" s="123"/>
      <c r="E15" s="69">
        <v>0</v>
      </c>
      <c r="F15" s="123"/>
      <c r="G15" s="69">
        <f>E15-C15</f>
        <v>-500000</v>
      </c>
      <c r="H15" s="122"/>
      <c r="I15" s="93">
        <f>(E15-C15)/C15</f>
        <v>-1</v>
      </c>
      <c r="J15" s="122"/>
    </row>
    <row r="16" spans="1:12" ht="15">
      <c r="A16" s="122"/>
      <c r="B16" s="122"/>
      <c r="C16" s="69"/>
      <c r="D16" s="123"/>
      <c r="E16" s="69"/>
      <c r="F16" s="123"/>
      <c r="G16" s="69"/>
      <c r="H16" s="122"/>
      <c r="I16" s="93"/>
      <c r="J16" s="122"/>
    </row>
    <row r="17" spans="1:10" s="124" customFormat="1" ht="18.75" thickBot="1">
      <c r="A17" s="124" t="s">
        <v>35</v>
      </c>
      <c r="C17" s="87">
        <f>SUM(C13:C15)</f>
        <v>23625000</v>
      </c>
      <c r="D17" s="88"/>
      <c r="E17" s="87">
        <f>SUM(E13:E15)</f>
        <v>24185000</v>
      </c>
      <c r="F17" s="125"/>
      <c r="G17" s="84">
        <f>E17-C17</f>
        <v>560000</v>
      </c>
      <c r="I17" s="102">
        <f>(E17-C17)/C17</f>
        <v>2.3703703703703703E-2</v>
      </c>
    </row>
    <row r="18" spans="1:10" ht="15.75" thickTop="1">
      <c r="A18" s="122"/>
      <c r="B18" s="122"/>
      <c r="C18" s="69"/>
      <c r="D18" s="123"/>
      <c r="E18" s="69"/>
      <c r="F18" s="123"/>
      <c r="G18" s="69"/>
      <c r="H18" s="122"/>
      <c r="I18" s="93"/>
      <c r="J18" s="122"/>
    </row>
    <row r="19" spans="1:10" ht="15" hidden="1">
      <c r="A19" s="122" t="s">
        <v>59</v>
      </c>
      <c r="B19" s="122"/>
      <c r="C19" s="69"/>
      <c r="D19" s="123"/>
      <c r="E19" s="69"/>
      <c r="F19" s="123"/>
      <c r="G19" s="69"/>
      <c r="H19" s="122"/>
      <c r="I19" s="93"/>
      <c r="J19" s="122"/>
    </row>
    <row r="20" spans="1:10" ht="15" hidden="1">
      <c r="A20" s="122" t="s">
        <v>109</v>
      </c>
      <c r="B20" s="122"/>
      <c r="C20" s="69">
        <v>5250701</v>
      </c>
      <c r="D20" s="123"/>
      <c r="E20" s="69">
        <v>5250701</v>
      </c>
      <c r="F20" s="123"/>
      <c r="G20" s="69">
        <f t="shared" ref="G20:G33" si="0">E20-C20</f>
        <v>0</v>
      </c>
      <c r="H20" s="122"/>
      <c r="I20" s="93">
        <f t="shared" ref="I20:I33" si="1">G20/C20</f>
        <v>0</v>
      </c>
      <c r="J20" s="122"/>
    </row>
    <row r="21" spans="1:10" ht="15" hidden="1">
      <c r="A21" s="122" t="s">
        <v>91</v>
      </c>
      <c r="B21" s="122"/>
      <c r="C21" s="69">
        <v>2238719</v>
      </c>
      <c r="D21" s="123"/>
      <c r="E21" s="69">
        <v>2238719</v>
      </c>
      <c r="F21" s="123"/>
      <c r="G21" s="69">
        <f t="shared" si="0"/>
        <v>0</v>
      </c>
      <c r="H21" s="122"/>
      <c r="I21" s="93">
        <f t="shared" si="1"/>
        <v>0</v>
      </c>
      <c r="J21" s="122"/>
    </row>
    <row r="22" spans="1:10" ht="15" hidden="1">
      <c r="A22" s="122" t="s">
        <v>92</v>
      </c>
      <c r="B22" s="122"/>
      <c r="C22" s="69">
        <v>2753893</v>
      </c>
      <c r="D22" s="123"/>
      <c r="E22" s="69">
        <v>2753893</v>
      </c>
      <c r="F22" s="123"/>
      <c r="G22" s="69">
        <f t="shared" si="0"/>
        <v>0</v>
      </c>
      <c r="H22" s="122"/>
      <c r="I22" s="93">
        <f t="shared" si="1"/>
        <v>0</v>
      </c>
      <c r="J22" s="122"/>
    </row>
    <row r="23" spans="1:10" ht="15" hidden="1">
      <c r="A23" s="122" t="s">
        <v>93</v>
      </c>
      <c r="B23" s="122"/>
      <c r="C23" s="69">
        <v>3676865</v>
      </c>
      <c r="D23" s="123"/>
      <c r="E23" s="69">
        <v>3676865</v>
      </c>
      <c r="F23" s="123"/>
      <c r="G23" s="69">
        <f t="shared" si="0"/>
        <v>0</v>
      </c>
      <c r="H23" s="122"/>
      <c r="I23" s="93">
        <f t="shared" si="1"/>
        <v>0</v>
      </c>
      <c r="J23" s="122"/>
    </row>
    <row r="24" spans="1:10" ht="15" hidden="1">
      <c r="A24" s="122" t="s">
        <v>94</v>
      </c>
      <c r="B24" s="122"/>
      <c r="C24" s="69">
        <v>560942</v>
      </c>
      <c r="D24" s="123"/>
      <c r="E24" s="69">
        <v>560942</v>
      </c>
      <c r="F24" s="123"/>
      <c r="G24" s="69">
        <f t="shared" si="0"/>
        <v>0</v>
      </c>
      <c r="H24" s="122"/>
      <c r="I24" s="93">
        <f t="shared" si="1"/>
        <v>0</v>
      </c>
      <c r="J24" s="122"/>
    </row>
    <row r="25" spans="1:10" ht="15" hidden="1">
      <c r="A25" s="122" t="s">
        <v>95</v>
      </c>
      <c r="B25" s="122"/>
      <c r="C25" s="69">
        <v>739358</v>
      </c>
      <c r="D25" s="123"/>
      <c r="E25" s="69">
        <v>739358</v>
      </c>
      <c r="F25" s="123"/>
      <c r="G25" s="69">
        <f t="shared" si="0"/>
        <v>0</v>
      </c>
      <c r="H25" s="122"/>
      <c r="I25" s="93">
        <f t="shared" si="1"/>
        <v>0</v>
      </c>
      <c r="J25" s="122"/>
    </row>
    <row r="26" spans="1:10" ht="15" hidden="1">
      <c r="A26" s="122" t="s">
        <v>103</v>
      </c>
      <c r="B26" s="122"/>
      <c r="C26" s="69">
        <v>92600</v>
      </c>
      <c r="D26" s="123"/>
      <c r="E26" s="69">
        <v>92600</v>
      </c>
      <c r="F26" s="123"/>
      <c r="G26" s="69">
        <f t="shared" si="0"/>
        <v>0</v>
      </c>
      <c r="H26" s="122"/>
      <c r="I26" s="93">
        <f t="shared" si="1"/>
        <v>0</v>
      </c>
      <c r="J26" s="122"/>
    </row>
    <row r="27" spans="1:10" ht="15" hidden="1">
      <c r="A27" s="122" t="s">
        <v>96</v>
      </c>
      <c r="B27" s="122"/>
      <c r="C27" s="69">
        <v>96286</v>
      </c>
      <c r="D27" s="123"/>
      <c r="E27" s="69">
        <v>96286</v>
      </c>
      <c r="F27" s="123"/>
      <c r="G27" s="69">
        <f t="shared" si="0"/>
        <v>0</v>
      </c>
      <c r="H27" s="122"/>
      <c r="I27" s="93">
        <f t="shared" si="1"/>
        <v>0</v>
      </c>
      <c r="J27" s="122"/>
    </row>
    <row r="28" spans="1:10" ht="15" hidden="1">
      <c r="A28" s="122" t="s">
        <v>97</v>
      </c>
      <c r="B28" s="122"/>
      <c r="C28" s="69">
        <v>161750</v>
      </c>
      <c r="D28" s="123"/>
      <c r="E28" s="69">
        <v>161750</v>
      </c>
      <c r="F28" s="123"/>
      <c r="G28" s="69">
        <f t="shared" si="0"/>
        <v>0</v>
      </c>
      <c r="H28" s="122"/>
      <c r="I28" s="93">
        <f t="shared" si="1"/>
        <v>0</v>
      </c>
      <c r="J28" s="122"/>
    </row>
    <row r="29" spans="1:10" ht="15" hidden="1">
      <c r="A29" s="122" t="s">
        <v>98</v>
      </c>
      <c r="B29" s="122"/>
      <c r="C29" s="69">
        <v>550000</v>
      </c>
      <c r="D29" s="123"/>
      <c r="E29" s="69">
        <v>550000</v>
      </c>
      <c r="F29" s="123"/>
      <c r="G29" s="69">
        <f t="shared" si="0"/>
        <v>0</v>
      </c>
      <c r="H29" s="122"/>
      <c r="I29" s="93">
        <f t="shared" si="1"/>
        <v>0</v>
      </c>
      <c r="J29" s="122"/>
    </row>
    <row r="30" spans="1:10" ht="15" hidden="1">
      <c r="A30" s="122" t="s">
        <v>110</v>
      </c>
      <c r="B30" s="122"/>
      <c r="C30" s="69">
        <v>600000</v>
      </c>
      <c r="D30" s="123"/>
      <c r="E30" s="69">
        <v>600000</v>
      </c>
      <c r="F30" s="123"/>
      <c r="G30" s="69">
        <f t="shared" si="0"/>
        <v>0</v>
      </c>
      <c r="H30" s="122"/>
      <c r="I30" s="93">
        <f t="shared" si="1"/>
        <v>0</v>
      </c>
      <c r="J30" s="122"/>
    </row>
    <row r="31" spans="1:10" ht="15" hidden="1">
      <c r="A31" s="122" t="s">
        <v>99</v>
      </c>
      <c r="B31" s="122"/>
      <c r="C31" s="69">
        <v>508999</v>
      </c>
      <c r="D31" s="123"/>
      <c r="E31" s="69">
        <v>508999</v>
      </c>
      <c r="F31" s="123"/>
      <c r="G31" s="69">
        <f t="shared" si="0"/>
        <v>0</v>
      </c>
      <c r="H31" s="122"/>
      <c r="I31" s="93">
        <f t="shared" si="1"/>
        <v>0</v>
      </c>
      <c r="J31" s="122"/>
    </row>
    <row r="32" spans="1:10" ht="15" hidden="1">
      <c r="A32" s="122" t="s">
        <v>100</v>
      </c>
      <c r="B32" s="122"/>
      <c r="C32" s="69">
        <v>682193</v>
      </c>
      <c r="D32" s="123"/>
      <c r="E32" s="69">
        <v>682193</v>
      </c>
      <c r="F32" s="123"/>
      <c r="G32" s="69">
        <f t="shared" si="0"/>
        <v>0</v>
      </c>
      <c r="H32" s="122"/>
      <c r="I32" s="93">
        <f t="shared" si="1"/>
        <v>0</v>
      </c>
      <c r="J32" s="122"/>
    </row>
    <row r="33" spans="1:10" ht="15.75" hidden="1" thickBot="1">
      <c r="A33" s="122" t="s">
        <v>74</v>
      </c>
      <c r="B33" s="122"/>
      <c r="C33" s="76">
        <f>SUM(C20:C32)</f>
        <v>17912306</v>
      </c>
      <c r="D33" s="123"/>
      <c r="E33" s="76">
        <f>SUM(E20:E32)</f>
        <v>17912306</v>
      </c>
      <c r="F33" s="123"/>
      <c r="G33" s="76">
        <f t="shared" si="0"/>
        <v>0</v>
      </c>
      <c r="H33" s="122"/>
      <c r="I33" s="99">
        <f t="shared" si="1"/>
        <v>0</v>
      </c>
      <c r="J33" s="122"/>
    </row>
    <row r="34" spans="1:10" ht="15">
      <c r="A34" s="122"/>
      <c r="B34" s="122"/>
      <c r="C34" s="69"/>
      <c r="D34" s="123"/>
      <c r="E34" s="69"/>
      <c r="F34" s="123"/>
      <c r="G34" s="69"/>
      <c r="H34" s="122"/>
      <c r="I34" s="93"/>
      <c r="J34" s="122"/>
    </row>
    <row r="35" spans="1:10" ht="15">
      <c r="A35" s="62" t="s">
        <v>123</v>
      </c>
      <c r="B35" s="122"/>
      <c r="C35" s="69"/>
      <c r="D35" s="123"/>
      <c r="E35" s="69"/>
      <c r="F35" s="123"/>
      <c r="G35" s="69"/>
      <c r="H35" s="122"/>
      <c r="I35" s="93"/>
      <c r="J35" s="122"/>
    </row>
    <row r="36" spans="1:10" ht="6.75" customHeight="1">
      <c r="A36" s="122"/>
      <c r="B36" s="122"/>
      <c r="C36" s="69"/>
      <c r="D36" s="123"/>
      <c r="E36" s="69"/>
      <c r="F36" s="123"/>
      <c r="G36" s="69"/>
      <c r="H36" s="122"/>
      <c r="I36" s="93"/>
      <c r="J36" s="122"/>
    </row>
    <row r="37" spans="1:10" ht="15">
      <c r="A37" s="122" t="s">
        <v>111</v>
      </c>
      <c r="B37" s="122"/>
      <c r="C37" s="86">
        <v>12768446</v>
      </c>
      <c r="D37" s="123"/>
      <c r="E37" s="86">
        <v>13590092</v>
      </c>
      <c r="F37" s="123"/>
      <c r="G37" s="69">
        <f t="shared" ref="G37:G45" si="2">E37-C37</f>
        <v>821646</v>
      </c>
      <c r="H37" s="122"/>
      <c r="I37" s="93">
        <f t="shared" ref="I37:I43" si="3">(E37-C37)/C37</f>
        <v>6.434972587893624E-2</v>
      </c>
      <c r="J37" s="122"/>
    </row>
    <row r="38" spans="1:10" ht="15">
      <c r="A38" s="122" t="s">
        <v>112</v>
      </c>
      <c r="B38" s="122"/>
      <c r="C38" s="80">
        <f>387147+210526</f>
        <v>597673</v>
      </c>
      <c r="D38" s="123"/>
      <c r="E38" s="80">
        <v>635760</v>
      </c>
      <c r="F38" s="123"/>
      <c r="G38" s="69">
        <f t="shared" si="2"/>
        <v>38087</v>
      </c>
      <c r="H38" s="122"/>
      <c r="I38" s="93">
        <f t="shared" si="3"/>
        <v>6.3725481994334698E-2</v>
      </c>
      <c r="J38" s="122"/>
    </row>
    <row r="39" spans="1:10" ht="15">
      <c r="A39" s="122" t="s">
        <v>113</v>
      </c>
      <c r="B39" s="122"/>
      <c r="C39" s="80">
        <f>2625256-C38</f>
        <v>2027583</v>
      </c>
      <c r="D39" s="123"/>
      <c r="E39" s="80">
        <f>2140551-E38</f>
        <v>1504791</v>
      </c>
      <c r="F39" s="123"/>
      <c r="G39" s="69">
        <f t="shared" si="2"/>
        <v>-522792</v>
      </c>
      <c r="H39" s="122"/>
      <c r="I39" s="93">
        <f t="shared" si="3"/>
        <v>-0.2578399996448974</v>
      </c>
      <c r="J39" s="122"/>
    </row>
    <row r="40" spans="1:10" ht="15">
      <c r="A40" s="122" t="s">
        <v>114</v>
      </c>
      <c r="B40" s="122"/>
      <c r="C40" s="80">
        <v>1828492</v>
      </c>
      <c r="D40" s="123"/>
      <c r="E40" s="80">
        <v>1905526</v>
      </c>
      <c r="F40" s="123"/>
      <c r="G40" s="69">
        <f t="shared" si="2"/>
        <v>77034</v>
      </c>
      <c r="H40" s="122"/>
      <c r="I40" s="93">
        <f t="shared" si="3"/>
        <v>4.2129798763133774E-2</v>
      </c>
      <c r="J40" s="122"/>
    </row>
    <row r="41" spans="1:10" ht="15">
      <c r="A41" s="122" t="s">
        <v>115</v>
      </c>
      <c r="B41" s="122"/>
      <c r="C41" s="80">
        <v>2396990</v>
      </c>
      <c r="D41" s="123"/>
      <c r="E41" s="80">
        <v>2561403</v>
      </c>
      <c r="F41" s="123"/>
      <c r="G41" s="69">
        <f t="shared" si="2"/>
        <v>164413</v>
      </c>
      <c r="H41" s="122"/>
      <c r="I41" s="93">
        <f t="shared" si="3"/>
        <v>6.8591441766548883E-2</v>
      </c>
      <c r="J41" s="122"/>
    </row>
    <row r="42" spans="1:10" ht="15">
      <c r="A42" s="122" t="s">
        <v>116</v>
      </c>
      <c r="B42" s="122"/>
      <c r="C42" s="81">
        <v>3280816</v>
      </c>
      <c r="D42" s="123"/>
      <c r="E42" s="81">
        <v>3187428</v>
      </c>
      <c r="F42" s="123"/>
      <c r="G42" s="69">
        <f t="shared" si="2"/>
        <v>-93388</v>
      </c>
      <c r="H42" s="122"/>
      <c r="I42" s="93">
        <f t="shared" si="3"/>
        <v>-2.8464869715339111E-2</v>
      </c>
      <c r="J42" s="122"/>
    </row>
    <row r="43" spans="1:10" ht="15">
      <c r="A43" s="122" t="s">
        <v>110</v>
      </c>
      <c r="B43" s="122"/>
      <c r="C43" s="81">
        <v>725000</v>
      </c>
      <c r="D43" s="123"/>
      <c r="E43" s="81">
        <v>800000</v>
      </c>
      <c r="F43" s="123"/>
      <c r="G43" s="69">
        <f t="shared" si="2"/>
        <v>75000</v>
      </c>
      <c r="H43" s="122"/>
      <c r="I43" s="93">
        <f t="shared" si="3"/>
        <v>0.10344827586206896</v>
      </c>
      <c r="J43" s="122"/>
    </row>
    <row r="44" spans="1:10" ht="6.75" customHeight="1">
      <c r="A44" s="122"/>
      <c r="B44" s="122"/>
      <c r="C44" s="81"/>
      <c r="D44" s="123"/>
      <c r="E44" s="81"/>
      <c r="F44" s="123"/>
      <c r="G44" s="69"/>
      <c r="H44" s="122"/>
      <c r="I44" s="93"/>
      <c r="J44" s="122"/>
    </row>
    <row r="45" spans="1:10" s="124" customFormat="1" ht="18.75" thickBot="1">
      <c r="A45" s="114" t="s">
        <v>46</v>
      </c>
      <c r="C45" s="87">
        <f>SUM(C37:C43)</f>
        <v>23625000</v>
      </c>
      <c r="D45" s="88"/>
      <c r="E45" s="87">
        <f>SUM(E37:E43)</f>
        <v>24185000</v>
      </c>
      <c r="F45" s="125"/>
      <c r="G45" s="84">
        <f t="shared" si="2"/>
        <v>560000</v>
      </c>
      <c r="I45" s="102">
        <f>(E45-C45)/C45</f>
        <v>2.3703703703703703E-2</v>
      </c>
    </row>
    <row r="46" spans="1:10" ht="15.75" thickTop="1">
      <c r="A46" s="122"/>
      <c r="B46" s="122"/>
      <c r="C46" s="69"/>
      <c r="D46" s="123"/>
      <c r="E46" s="69"/>
      <c r="F46" s="123"/>
      <c r="G46" s="69"/>
      <c r="H46" s="122"/>
      <c r="I46" s="93"/>
      <c r="J46" s="122"/>
    </row>
    <row r="47" spans="1:10" ht="15">
      <c r="A47" s="122"/>
      <c r="B47" s="122"/>
      <c r="C47" s="69"/>
      <c r="D47" s="123"/>
      <c r="E47" s="69"/>
      <c r="F47" s="123"/>
      <c r="G47" s="69"/>
      <c r="H47" s="122"/>
      <c r="I47" s="93"/>
      <c r="J47" s="122"/>
    </row>
    <row r="48" spans="1:10" ht="15">
      <c r="A48" s="122"/>
      <c r="B48" s="122"/>
      <c r="C48" s="69"/>
      <c r="D48" s="123"/>
      <c r="E48" s="69"/>
      <c r="F48" s="123"/>
      <c r="G48" s="69"/>
      <c r="H48" s="122"/>
      <c r="I48" s="93"/>
      <c r="J48" s="122"/>
    </row>
    <row r="49" spans="1:10" ht="15">
      <c r="A49" s="122"/>
      <c r="B49" s="122"/>
      <c r="C49" s="69"/>
      <c r="D49" s="123"/>
      <c r="E49" s="69"/>
      <c r="F49" s="123"/>
      <c r="G49" s="69"/>
      <c r="H49" s="122"/>
      <c r="I49" s="93"/>
      <c r="J49" s="122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
&amp;"Arial,Bold"&amp;18OSU - OKLAHOMA CITY
SUMMARY OF REVENUE &amp;&amp; EXPENDITURES
Education &amp;&amp; General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showGridLines="0" zoomScale="85" workbookViewId="0">
      <selection activeCell="I49" sqref="I49"/>
    </sheetView>
  </sheetViews>
  <sheetFormatPr defaultRowHeight="12.75"/>
  <cols>
    <col min="1" max="1" width="54.42578125" style="51" customWidth="1"/>
    <col min="2" max="2" width="8.5703125" style="51" customWidth="1"/>
    <col min="3" max="3" width="20.5703125" style="29" customWidth="1"/>
    <col min="4" max="4" width="9.140625" style="53"/>
    <col min="5" max="5" width="20.5703125" style="29" customWidth="1"/>
    <col min="6" max="6" width="9.140625" style="53"/>
    <col min="7" max="7" width="15.85546875" style="29" hidden="1" customWidth="1"/>
    <col min="8" max="8" width="0" style="51" hidden="1" customWidth="1"/>
    <col min="9" max="9" width="16.7109375" style="33" customWidth="1"/>
    <col min="10" max="16384" width="9.140625" style="51"/>
  </cols>
  <sheetData>
    <row r="1" spans="1:10" ht="90.75" customHeight="1">
      <c r="A1" s="52"/>
    </row>
    <row r="2" spans="1:10" ht="15.75">
      <c r="C2" s="64"/>
      <c r="D2" s="64"/>
      <c r="E2" s="64"/>
      <c r="F2" s="64"/>
      <c r="G2" s="65" t="s">
        <v>47</v>
      </c>
      <c r="H2" s="63"/>
      <c r="I2" s="66" t="s">
        <v>124</v>
      </c>
    </row>
    <row r="3" spans="1:10" ht="15.75"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</row>
    <row r="4" spans="1:10" ht="15.75"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</row>
    <row r="5" spans="1:10" ht="15">
      <c r="A5" s="126" t="s">
        <v>51</v>
      </c>
      <c r="B5" s="126"/>
      <c r="C5" s="69"/>
      <c r="D5" s="127"/>
      <c r="E5" s="69"/>
      <c r="F5" s="127"/>
      <c r="G5" s="69"/>
      <c r="H5" s="126"/>
      <c r="I5" s="93"/>
      <c r="J5" s="126"/>
    </row>
    <row r="6" spans="1:10" ht="6.75" customHeight="1">
      <c r="A6" s="126"/>
      <c r="B6" s="126"/>
      <c r="C6" s="69"/>
      <c r="D6" s="127"/>
      <c r="E6" s="69"/>
      <c r="F6" s="127"/>
      <c r="G6" s="69"/>
      <c r="H6" s="126"/>
      <c r="I6" s="93"/>
      <c r="J6" s="126"/>
    </row>
    <row r="7" spans="1:10" ht="15">
      <c r="A7" s="126" t="s">
        <v>83</v>
      </c>
      <c r="B7" s="126"/>
      <c r="C7" s="86">
        <v>14991461</v>
      </c>
      <c r="D7" s="86"/>
      <c r="E7" s="86">
        <v>14448536</v>
      </c>
      <c r="F7" s="127"/>
      <c r="G7" s="69">
        <f t="shared" ref="G7:G15" si="0">E7-C7</f>
        <v>-542925</v>
      </c>
      <c r="H7" s="126"/>
      <c r="I7" s="93">
        <f t="shared" ref="I7:I12" si="1">(E7-C7)/C7</f>
        <v>-3.621561634319697E-2</v>
      </c>
      <c r="J7" s="126"/>
    </row>
    <row r="8" spans="1:10" ht="15">
      <c r="A8" s="126" t="s">
        <v>105</v>
      </c>
      <c r="B8" s="126"/>
      <c r="C8" s="96">
        <f>6556573+917754+201857</f>
        <v>7676184</v>
      </c>
      <c r="D8" s="127"/>
      <c r="E8" s="96">
        <v>8032341</v>
      </c>
      <c r="F8" s="127"/>
      <c r="G8" s="69">
        <f t="shared" si="0"/>
        <v>356157</v>
      </c>
      <c r="H8" s="126"/>
      <c r="I8" s="93">
        <f t="shared" si="1"/>
        <v>4.639766321390941E-2</v>
      </c>
      <c r="J8" s="126"/>
    </row>
    <row r="9" spans="1:10" ht="15">
      <c r="A9" s="126" t="s">
        <v>117</v>
      </c>
      <c r="B9" s="126"/>
      <c r="C9" s="96">
        <f>5500000+120000</f>
        <v>5620000</v>
      </c>
      <c r="D9" s="127"/>
      <c r="E9" s="96">
        <f>6300000+294705+463318</f>
        <v>7058023</v>
      </c>
      <c r="F9" s="127"/>
      <c r="G9" s="69">
        <f t="shared" si="0"/>
        <v>1438023</v>
      </c>
      <c r="H9" s="126"/>
      <c r="I9" s="93">
        <f t="shared" si="1"/>
        <v>0.25587597864768685</v>
      </c>
      <c r="J9" s="126"/>
    </row>
    <row r="10" spans="1:10" ht="15">
      <c r="A10" s="118" t="s">
        <v>118</v>
      </c>
      <c r="B10" s="126"/>
      <c r="C10" s="96">
        <v>18000000</v>
      </c>
      <c r="D10" s="127"/>
      <c r="E10" s="96">
        <v>18000000</v>
      </c>
      <c r="F10" s="127"/>
      <c r="G10" s="69">
        <f t="shared" si="0"/>
        <v>0</v>
      </c>
      <c r="H10" s="126"/>
      <c r="I10" s="93">
        <f t="shared" si="1"/>
        <v>0</v>
      </c>
      <c r="J10" s="126"/>
    </row>
    <row r="11" spans="1:10" ht="15">
      <c r="A11" s="126" t="s">
        <v>107</v>
      </c>
      <c r="B11" s="126"/>
      <c r="C11" s="128">
        <v>100000</v>
      </c>
      <c r="D11" s="129"/>
      <c r="E11" s="128">
        <v>0</v>
      </c>
      <c r="F11" s="129"/>
      <c r="G11" s="74">
        <f t="shared" si="0"/>
        <v>-100000</v>
      </c>
      <c r="H11" s="126"/>
      <c r="I11" s="93">
        <f t="shared" si="1"/>
        <v>-1</v>
      </c>
      <c r="J11" s="126"/>
    </row>
    <row r="12" spans="1:10" ht="15">
      <c r="A12" s="126" t="s">
        <v>121</v>
      </c>
      <c r="B12" s="126"/>
      <c r="C12" s="96">
        <f>5268563-C11</f>
        <v>5168563</v>
      </c>
      <c r="D12" s="127"/>
      <c r="E12" s="96">
        <f>6428460-E11</f>
        <v>6428460</v>
      </c>
      <c r="F12" s="127"/>
      <c r="G12" s="74">
        <f t="shared" si="0"/>
        <v>1259897</v>
      </c>
      <c r="H12" s="126"/>
      <c r="I12" s="93">
        <f t="shared" si="1"/>
        <v>0.24376156390083664</v>
      </c>
      <c r="J12" s="126"/>
    </row>
    <row r="13" spans="1:10" ht="15">
      <c r="A13" s="90" t="s">
        <v>136</v>
      </c>
      <c r="B13" s="126"/>
      <c r="C13" s="96">
        <v>0</v>
      </c>
      <c r="D13" s="127"/>
      <c r="E13" s="96">
        <v>1138890</v>
      </c>
      <c r="F13" s="127"/>
      <c r="G13" s="74"/>
      <c r="H13" s="126"/>
      <c r="I13" s="93">
        <v>1</v>
      </c>
      <c r="J13" s="126"/>
    </row>
    <row r="14" spans="1:10" ht="5.25" customHeight="1">
      <c r="A14" s="126"/>
      <c r="B14" s="126"/>
      <c r="C14" s="96"/>
      <c r="D14" s="127"/>
      <c r="E14" s="96"/>
      <c r="F14" s="127"/>
      <c r="G14" s="74"/>
      <c r="H14" s="126"/>
      <c r="I14" s="98"/>
      <c r="J14" s="126"/>
    </row>
    <row r="15" spans="1:10" ht="15">
      <c r="A15" s="126" t="s">
        <v>29</v>
      </c>
      <c r="B15" s="126"/>
      <c r="C15" s="89">
        <f>SUM(C7:C13)</f>
        <v>51556208</v>
      </c>
      <c r="D15" s="86"/>
      <c r="E15" s="89">
        <f>SUM(E7:E13)</f>
        <v>55106250</v>
      </c>
      <c r="F15" s="127"/>
      <c r="G15" s="72">
        <f t="shared" si="0"/>
        <v>3550042</v>
      </c>
      <c r="H15" s="126"/>
      <c r="I15" s="97">
        <f>(E15-C15)/C15</f>
        <v>6.8857701869772886E-2</v>
      </c>
      <c r="J15" s="126"/>
    </row>
    <row r="16" spans="1:10" ht="15">
      <c r="A16" s="126"/>
      <c r="B16" s="126"/>
      <c r="C16" s="74"/>
      <c r="D16" s="127"/>
      <c r="E16" s="74"/>
      <c r="F16" s="127"/>
      <c r="G16" s="74"/>
      <c r="H16" s="126"/>
      <c r="I16" s="98"/>
      <c r="J16" s="126"/>
    </row>
    <row r="17" spans="1:10" ht="15">
      <c r="A17" s="118" t="s">
        <v>30</v>
      </c>
      <c r="B17" s="126"/>
      <c r="C17" s="69">
        <v>3469855</v>
      </c>
      <c r="D17" s="127"/>
      <c r="E17" s="69">
        <v>1858306</v>
      </c>
      <c r="F17" s="127"/>
      <c r="G17" s="69">
        <f>E17-C17</f>
        <v>-1611549</v>
      </c>
      <c r="H17" s="126"/>
      <c r="I17" s="93">
        <f>(E17-C17)/C17</f>
        <v>-0.46444275048957379</v>
      </c>
      <c r="J17" s="126"/>
    </row>
    <row r="18" spans="1:10" ht="15">
      <c r="A18" s="118"/>
      <c r="B18" s="126"/>
      <c r="C18" s="69"/>
      <c r="D18" s="127"/>
      <c r="E18" s="69"/>
      <c r="F18" s="127"/>
      <c r="G18" s="69"/>
      <c r="H18" s="126"/>
      <c r="I18" s="93"/>
      <c r="J18" s="126"/>
    </row>
    <row r="19" spans="1:10" s="130" customFormat="1" ht="18.75" thickBot="1">
      <c r="A19" s="130" t="s">
        <v>35</v>
      </c>
      <c r="C19" s="87">
        <f>SUM(C15:C17)</f>
        <v>55026063</v>
      </c>
      <c r="D19" s="88"/>
      <c r="E19" s="87">
        <f>SUM(E15:E17)</f>
        <v>56964556</v>
      </c>
      <c r="F19" s="131"/>
      <c r="G19" s="84">
        <f>E19-C19</f>
        <v>1938493</v>
      </c>
      <c r="I19" s="102">
        <f>(E19-C19)/C19</f>
        <v>3.5228633384147438E-2</v>
      </c>
    </row>
    <row r="20" spans="1:10" ht="15.75" thickTop="1">
      <c r="A20" s="126"/>
      <c r="B20" s="126"/>
      <c r="C20" s="69"/>
      <c r="D20" s="127"/>
      <c r="E20" s="69"/>
      <c r="F20" s="127"/>
      <c r="G20" s="69"/>
      <c r="H20" s="126"/>
      <c r="I20" s="93"/>
      <c r="J20" s="126"/>
    </row>
    <row r="21" spans="1:10" ht="15" hidden="1">
      <c r="A21" s="126" t="s">
        <v>59</v>
      </c>
      <c r="B21" s="126"/>
      <c r="C21" s="69"/>
      <c r="D21" s="127"/>
      <c r="E21" s="69"/>
      <c r="F21" s="127"/>
      <c r="G21" s="69"/>
      <c r="H21" s="126"/>
      <c r="I21" s="93"/>
      <c r="J21" s="126"/>
    </row>
    <row r="22" spans="1:10" ht="15" hidden="1">
      <c r="A22" s="126" t="s">
        <v>109</v>
      </c>
      <c r="B22" s="126"/>
      <c r="C22" s="96">
        <v>9065570</v>
      </c>
      <c r="D22" s="127"/>
      <c r="E22" s="96">
        <v>9065570</v>
      </c>
      <c r="F22" s="127"/>
      <c r="G22" s="69">
        <f t="shared" ref="G22:G35" si="2">E22-C22</f>
        <v>0</v>
      </c>
      <c r="H22" s="126"/>
      <c r="I22" s="93">
        <f t="shared" ref="I22:I35" si="3">G22/C22</f>
        <v>0</v>
      </c>
      <c r="J22" s="126"/>
    </row>
    <row r="23" spans="1:10" ht="15" hidden="1">
      <c r="A23" s="126" t="s">
        <v>91</v>
      </c>
      <c r="B23" s="126"/>
      <c r="C23" s="96">
        <v>5507199</v>
      </c>
      <c r="D23" s="127"/>
      <c r="E23" s="96">
        <v>5507199</v>
      </c>
      <c r="F23" s="127"/>
      <c r="G23" s="69">
        <f t="shared" si="2"/>
        <v>0</v>
      </c>
      <c r="H23" s="126"/>
      <c r="I23" s="93">
        <f t="shared" si="3"/>
        <v>0</v>
      </c>
      <c r="J23" s="126"/>
    </row>
    <row r="24" spans="1:10" ht="15" hidden="1">
      <c r="A24" s="126" t="s">
        <v>92</v>
      </c>
      <c r="B24" s="126"/>
      <c r="C24" s="96">
        <v>2319953</v>
      </c>
      <c r="D24" s="127"/>
      <c r="E24" s="96">
        <v>2319953</v>
      </c>
      <c r="F24" s="127"/>
      <c r="G24" s="69">
        <f t="shared" si="2"/>
        <v>0</v>
      </c>
      <c r="H24" s="126"/>
      <c r="I24" s="93">
        <f t="shared" si="3"/>
        <v>0</v>
      </c>
      <c r="J24" s="126"/>
    </row>
    <row r="25" spans="1:10" ht="15" hidden="1">
      <c r="A25" s="126" t="s">
        <v>93</v>
      </c>
      <c r="B25" s="126"/>
      <c r="C25" s="96">
        <v>5870408</v>
      </c>
      <c r="D25" s="127"/>
      <c r="E25" s="96">
        <v>5870408</v>
      </c>
      <c r="F25" s="127"/>
      <c r="G25" s="69">
        <f t="shared" si="2"/>
        <v>0</v>
      </c>
      <c r="H25" s="126"/>
      <c r="I25" s="93">
        <f t="shared" si="3"/>
        <v>0</v>
      </c>
      <c r="J25" s="126"/>
    </row>
    <row r="26" spans="1:10" ht="15" hidden="1">
      <c r="A26" s="126" t="s">
        <v>94</v>
      </c>
      <c r="B26" s="126"/>
      <c r="C26" s="96">
        <v>1495530</v>
      </c>
      <c r="D26" s="127"/>
      <c r="E26" s="96">
        <v>1495530</v>
      </c>
      <c r="F26" s="127"/>
      <c r="G26" s="69">
        <f t="shared" si="2"/>
        <v>0</v>
      </c>
      <c r="H26" s="126"/>
      <c r="I26" s="93">
        <f t="shared" si="3"/>
        <v>0</v>
      </c>
      <c r="J26" s="126"/>
    </row>
    <row r="27" spans="1:10" ht="15" hidden="1">
      <c r="A27" s="126" t="s">
        <v>95</v>
      </c>
      <c r="B27" s="126"/>
      <c r="C27" s="96">
        <v>763404</v>
      </c>
      <c r="D27" s="127"/>
      <c r="E27" s="96">
        <v>763404</v>
      </c>
      <c r="F27" s="127"/>
      <c r="G27" s="69">
        <f t="shared" si="2"/>
        <v>0</v>
      </c>
      <c r="H27" s="126"/>
      <c r="I27" s="93">
        <f t="shared" si="3"/>
        <v>0</v>
      </c>
      <c r="J27" s="126"/>
    </row>
    <row r="28" spans="1:10" ht="15" hidden="1">
      <c r="A28" s="126" t="s">
        <v>103</v>
      </c>
      <c r="B28" s="126"/>
      <c r="C28" s="96">
        <v>295934</v>
      </c>
      <c r="D28" s="127"/>
      <c r="E28" s="96">
        <v>295934</v>
      </c>
      <c r="F28" s="127"/>
      <c r="G28" s="69">
        <f t="shared" si="2"/>
        <v>0</v>
      </c>
      <c r="H28" s="126"/>
      <c r="I28" s="93">
        <f t="shared" si="3"/>
        <v>0</v>
      </c>
      <c r="J28" s="126"/>
    </row>
    <row r="29" spans="1:10" ht="15" hidden="1">
      <c r="A29" s="126" t="s">
        <v>96</v>
      </c>
      <c r="B29" s="126"/>
      <c r="C29" s="96">
        <v>313226</v>
      </c>
      <c r="D29" s="127"/>
      <c r="E29" s="96">
        <v>313226</v>
      </c>
      <c r="F29" s="127"/>
      <c r="G29" s="69">
        <f t="shared" si="2"/>
        <v>0</v>
      </c>
      <c r="H29" s="126"/>
      <c r="I29" s="93">
        <f t="shared" si="3"/>
        <v>0</v>
      </c>
      <c r="J29" s="126"/>
    </row>
    <row r="30" spans="1:10" ht="15" hidden="1">
      <c r="A30" s="126" t="s">
        <v>97</v>
      </c>
      <c r="B30" s="126"/>
      <c r="C30" s="96">
        <v>447980</v>
      </c>
      <c r="D30" s="127"/>
      <c r="E30" s="96">
        <v>447980</v>
      </c>
      <c r="F30" s="127"/>
      <c r="G30" s="69">
        <f t="shared" si="2"/>
        <v>0</v>
      </c>
      <c r="H30" s="126"/>
      <c r="I30" s="93">
        <f t="shared" si="3"/>
        <v>0</v>
      </c>
      <c r="J30" s="126"/>
    </row>
    <row r="31" spans="1:10" ht="15" hidden="1">
      <c r="A31" s="126" t="s">
        <v>98</v>
      </c>
      <c r="B31" s="126"/>
      <c r="C31" s="96">
        <v>375424</v>
      </c>
      <c r="D31" s="127"/>
      <c r="E31" s="96">
        <v>375424</v>
      </c>
      <c r="F31" s="127"/>
      <c r="G31" s="69">
        <f t="shared" si="2"/>
        <v>0</v>
      </c>
      <c r="H31" s="126"/>
      <c r="I31" s="93">
        <f t="shared" si="3"/>
        <v>0</v>
      </c>
      <c r="J31" s="126"/>
    </row>
    <row r="32" spans="1:10" ht="15" hidden="1">
      <c r="A32" s="126" t="s">
        <v>122</v>
      </c>
      <c r="B32" s="126"/>
      <c r="C32" s="96">
        <v>80000</v>
      </c>
      <c r="D32" s="127"/>
      <c r="E32" s="96">
        <v>80000</v>
      </c>
      <c r="F32" s="127"/>
      <c r="G32" s="69">
        <f t="shared" si="2"/>
        <v>0</v>
      </c>
      <c r="H32" s="126"/>
      <c r="I32" s="93">
        <f t="shared" si="3"/>
        <v>0</v>
      </c>
      <c r="J32" s="126"/>
    </row>
    <row r="33" spans="1:10" ht="15" hidden="1">
      <c r="A33" s="126" t="s">
        <v>99</v>
      </c>
      <c r="B33" s="126"/>
      <c r="C33" s="96">
        <v>4086531</v>
      </c>
      <c r="D33" s="127"/>
      <c r="E33" s="96">
        <v>4086531</v>
      </c>
      <c r="F33" s="127"/>
      <c r="G33" s="69">
        <f t="shared" si="2"/>
        <v>0</v>
      </c>
      <c r="H33" s="126"/>
      <c r="I33" s="93">
        <f t="shared" si="3"/>
        <v>0</v>
      </c>
      <c r="J33" s="126"/>
    </row>
    <row r="34" spans="1:10" ht="15" hidden="1">
      <c r="A34" s="126" t="s">
        <v>100</v>
      </c>
      <c r="B34" s="126"/>
      <c r="C34" s="96">
        <v>6627127</v>
      </c>
      <c r="D34" s="127"/>
      <c r="E34" s="96">
        <v>6627127</v>
      </c>
      <c r="F34" s="127"/>
      <c r="G34" s="69">
        <f t="shared" si="2"/>
        <v>0</v>
      </c>
      <c r="H34" s="126"/>
      <c r="I34" s="93">
        <f t="shared" si="3"/>
        <v>0</v>
      </c>
      <c r="J34" s="126"/>
    </row>
    <row r="35" spans="1:10" ht="15.75" hidden="1" thickBot="1">
      <c r="A35" s="126" t="s">
        <v>74</v>
      </c>
      <c r="B35" s="126"/>
      <c r="C35" s="76">
        <f>SUM(C22:C34)</f>
        <v>37248286</v>
      </c>
      <c r="D35" s="127"/>
      <c r="E35" s="76">
        <f>SUM(E22:E34)</f>
        <v>37248286</v>
      </c>
      <c r="F35" s="127"/>
      <c r="G35" s="76">
        <f t="shared" si="2"/>
        <v>0</v>
      </c>
      <c r="H35" s="126"/>
      <c r="I35" s="99">
        <f t="shared" si="3"/>
        <v>0</v>
      </c>
      <c r="J35" s="126"/>
    </row>
    <row r="36" spans="1:10" ht="15">
      <c r="A36" s="126"/>
      <c r="B36" s="126"/>
      <c r="C36" s="69"/>
      <c r="D36" s="127"/>
      <c r="E36" s="69"/>
      <c r="F36" s="127"/>
      <c r="G36" s="69"/>
      <c r="H36" s="126"/>
      <c r="I36" s="93"/>
      <c r="J36" s="126"/>
    </row>
    <row r="37" spans="1:10" ht="15">
      <c r="A37" s="62" t="s">
        <v>123</v>
      </c>
      <c r="B37" s="126"/>
      <c r="C37" s="69"/>
      <c r="D37" s="127"/>
      <c r="E37" s="69"/>
      <c r="F37" s="127"/>
      <c r="G37" s="69"/>
      <c r="H37" s="126"/>
      <c r="I37" s="93"/>
      <c r="J37" s="126"/>
    </row>
    <row r="38" spans="1:10" ht="5.25" customHeight="1">
      <c r="A38" s="126"/>
      <c r="B38" s="126"/>
      <c r="C38" s="69"/>
      <c r="D38" s="127"/>
      <c r="E38" s="69"/>
      <c r="F38" s="127"/>
      <c r="G38" s="69"/>
      <c r="H38" s="126"/>
      <c r="I38" s="93"/>
      <c r="J38" s="126"/>
    </row>
    <row r="39" spans="1:10" ht="15">
      <c r="A39" s="126" t="s">
        <v>111</v>
      </c>
      <c r="B39" s="126"/>
      <c r="C39" s="86">
        <v>34668234</v>
      </c>
      <c r="D39" s="86"/>
      <c r="E39" s="86">
        <v>33644841</v>
      </c>
      <c r="F39" s="127"/>
      <c r="G39" s="69">
        <f t="shared" ref="G39:G49" si="4">E39-C39</f>
        <v>-1023393</v>
      </c>
      <c r="H39" s="126"/>
      <c r="I39" s="93">
        <f t="shared" ref="I39:I47" si="5">(E39-C39)/C39</f>
        <v>-2.9519617295764185E-2</v>
      </c>
      <c r="J39" s="126"/>
    </row>
    <row r="40" spans="1:10" ht="15">
      <c r="A40" s="126" t="s">
        <v>119</v>
      </c>
      <c r="B40" s="126"/>
      <c r="C40" s="80">
        <v>2519364</v>
      </c>
      <c r="D40" s="127"/>
      <c r="E40" s="80">
        <v>3146520</v>
      </c>
      <c r="F40" s="127"/>
      <c r="G40" s="69">
        <f t="shared" si="4"/>
        <v>627156</v>
      </c>
      <c r="H40" s="126"/>
      <c r="I40" s="93">
        <f t="shared" si="5"/>
        <v>0.24893425483574427</v>
      </c>
      <c r="J40" s="126"/>
    </row>
    <row r="41" spans="1:10" ht="15">
      <c r="A41" s="126" t="s">
        <v>120</v>
      </c>
      <c r="B41" s="126"/>
      <c r="C41" s="80">
        <v>4580815</v>
      </c>
      <c r="D41" s="127"/>
      <c r="E41" s="80">
        <v>5365655</v>
      </c>
      <c r="F41" s="127"/>
      <c r="G41" s="69">
        <f t="shared" si="4"/>
        <v>784840</v>
      </c>
      <c r="H41" s="126"/>
      <c r="I41" s="93">
        <f t="shared" si="5"/>
        <v>0.17133195730454079</v>
      </c>
      <c r="J41" s="126"/>
    </row>
    <row r="42" spans="1:10" ht="15">
      <c r="A42" s="126" t="s">
        <v>112</v>
      </c>
      <c r="B42" s="126"/>
      <c r="C42" s="80">
        <v>1050677</v>
      </c>
      <c r="D42" s="127"/>
      <c r="E42" s="80">
        <v>1112294</v>
      </c>
      <c r="F42" s="127"/>
      <c r="G42" s="69">
        <f t="shared" si="4"/>
        <v>61617</v>
      </c>
      <c r="H42" s="126"/>
      <c r="I42" s="93">
        <f t="shared" si="5"/>
        <v>5.8645045051904626E-2</v>
      </c>
      <c r="J42" s="126"/>
    </row>
    <row r="43" spans="1:10" ht="15">
      <c r="A43" s="126" t="s">
        <v>113</v>
      </c>
      <c r="B43" s="126"/>
      <c r="C43" s="80">
        <f>4441668-C42</f>
        <v>3390991</v>
      </c>
      <c r="D43" s="127"/>
      <c r="E43" s="80">
        <f>4144595-E42</f>
        <v>3032301</v>
      </c>
      <c r="F43" s="127"/>
      <c r="G43" s="69">
        <f t="shared" si="4"/>
        <v>-358690</v>
      </c>
      <c r="H43" s="126"/>
      <c r="I43" s="93">
        <f t="shared" si="5"/>
        <v>-0.1057773376573397</v>
      </c>
      <c r="J43" s="126"/>
    </row>
    <row r="44" spans="1:10" ht="15">
      <c r="A44" s="126" t="s">
        <v>114</v>
      </c>
      <c r="B44" s="126"/>
      <c r="C44" s="80">
        <v>1007601</v>
      </c>
      <c r="D44" s="127"/>
      <c r="E44" s="80">
        <v>843943</v>
      </c>
      <c r="F44" s="127"/>
      <c r="G44" s="69">
        <f t="shared" si="4"/>
        <v>-163658</v>
      </c>
      <c r="H44" s="126"/>
      <c r="I44" s="93">
        <f t="shared" si="5"/>
        <v>-0.16242341958771378</v>
      </c>
      <c r="J44" s="126"/>
    </row>
    <row r="45" spans="1:10" ht="15">
      <c r="A45" s="126" t="s">
        <v>115</v>
      </c>
      <c r="B45" s="126"/>
      <c r="C45" s="80">
        <v>4178055</v>
      </c>
      <c r="D45" s="127"/>
      <c r="E45" s="80">
        <v>5093278</v>
      </c>
      <c r="F45" s="127"/>
      <c r="G45" s="69">
        <f t="shared" si="4"/>
        <v>915223</v>
      </c>
      <c r="H45" s="126"/>
      <c r="I45" s="93">
        <f t="shared" si="5"/>
        <v>0.2190547994222192</v>
      </c>
      <c r="J45" s="126"/>
    </row>
    <row r="46" spans="1:10" ht="15">
      <c r="A46" s="126" t="s">
        <v>116</v>
      </c>
      <c r="B46" s="126"/>
      <c r="C46" s="81">
        <v>3370326</v>
      </c>
      <c r="D46" s="127"/>
      <c r="E46" s="81">
        <v>4465724</v>
      </c>
      <c r="F46" s="127"/>
      <c r="G46" s="69">
        <f t="shared" si="4"/>
        <v>1095398</v>
      </c>
      <c r="H46" s="126"/>
      <c r="I46" s="93">
        <f t="shared" si="5"/>
        <v>0.32501247653787796</v>
      </c>
      <c r="J46" s="126"/>
    </row>
    <row r="47" spans="1:10" ht="15">
      <c r="A47" s="126" t="s">
        <v>110</v>
      </c>
      <c r="B47" s="126"/>
      <c r="C47" s="81">
        <v>260000</v>
      </c>
      <c r="D47" s="127"/>
      <c r="E47" s="81">
        <v>260000</v>
      </c>
      <c r="F47" s="127"/>
      <c r="G47" s="69">
        <f t="shared" si="4"/>
        <v>0</v>
      </c>
      <c r="H47" s="126"/>
      <c r="I47" s="93">
        <f t="shared" si="5"/>
        <v>0</v>
      </c>
      <c r="J47" s="126"/>
    </row>
    <row r="48" spans="1:10" ht="6" customHeight="1">
      <c r="A48" s="126"/>
      <c r="B48" s="126"/>
      <c r="C48" s="81"/>
      <c r="D48" s="127"/>
      <c r="E48" s="81"/>
      <c r="F48" s="127"/>
      <c r="G48" s="69"/>
      <c r="H48" s="126"/>
      <c r="I48" s="93"/>
      <c r="J48" s="126"/>
    </row>
    <row r="49" spans="1:10" s="130" customFormat="1" ht="18.75" thickBot="1">
      <c r="A49" s="114" t="s">
        <v>46</v>
      </c>
      <c r="C49" s="87">
        <f>SUM(C39:C47)</f>
        <v>55026063</v>
      </c>
      <c r="D49" s="88"/>
      <c r="E49" s="87">
        <f>SUM(E39:E47)</f>
        <v>56964556</v>
      </c>
      <c r="F49" s="131"/>
      <c r="G49" s="84">
        <f t="shared" si="4"/>
        <v>1938493</v>
      </c>
      <c r="I49" s="102">
        <f>(E49-C49)/C49</f>
        <v>3.5228633384147438E-2</v>
      </c>
    </row>
    <row r="50" spans="1:10" ht="15.75" thickTop="1">
      <c r="A50" s="126"/>
      <c r="B50" s="126"/>
      <c r="C50" s="69"/>
      <c r="D50" s="127"/>
      <c r="E50" s="69"/>
      <c r="F50" s="127"/>
      <c r="G50" s="69"/>
      <c r="H50" s="126"/>
      <c r="I50" s="93"/>
      <c r="J50" s="126"/>
    </row>
    <row r="51" spans="1:10" ht="15">
      <c r="A51" s="126"/>
      <c r="B51" s="126"/>
      <c r="C51" s="69"/>
      <c r="D51" s="127"/>
      <c r="E51" s="69"/>
      <c r="F51" s="127"/>
      <c r="G51" s="69"/>
      <c r="H51" s="126"/>
      <c r="I51" s="93"/>
      <c r="J51" s="126"/>
    </row>
    <row r="52" spans="1:10" ht="15">
      <c r="A52" s="126"/>
      <c r="B52" s="126"/>
      <c r="C52" s="69"/>
      <c r="D52" s="127"/>
      <c r="E52" s="69"/>
      <c r="F52" s="127"/>
      <c r="G52" s="69"/>
      <c r="H52" s="126"/>
      <c r="I52" s="93"/>
      <c r="J52" s="126"/>
    </row>
    <row r="53" spans="1:10" ht="15">
      <c r="A53" s="126"/>
      <c r="B53" s="126"/>
      <c r="C53" s="69"/>
      <c r="D53" s="127"/>
      <c r="E53" s="69"/>
      <c r="F53" s="127"/>
      <c r="G53" s="69"/>
      <c r="H53" s="126"/>
      <c r="I53" s="93"/>
      <c r="J53" s="126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&amp;C&amp;"Arial,Bold"&amp;18
CENTER FOR HEALTH SCIENCES
SUMMARY OF REVENUE &amp;&amp; EXPENDITURES
Education &amp;&amp; General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showGridLines="0" topLeftCell="A4" zoomScale="85" workbookViewId="0">
      <selection activeCell="I46" sqref="I46"/>
    </sheetView>
  </sheetViews>
  <sheetFormatPr defaultRowHeight="12.75"/>
  <cols>
    <col min="1" max="1" width="54.42578125" style="51" customWidth="1"/>
    <col min="2" max="2" width="9.140625" style="51"/>
    <col min="3" max="3" width="20.5703125" style="29" customWidth="1"/>
    <col min="4" max="4" width="9.140625" style="53"/>
    <col min="5" max="5" width="20.5703125" style="29" customWidth="1"/>
    <col min="6" max="6" width="9.140625" style="53"/>
    <col min="7" max="7" width="15.85546875" style="29" hidden="1" customWidth="1"/>
    <col min="8" max="8" width="0" style="51" hidden="1" customWidth="1"/>
    <col min="9" max="9" width="16.5703125" style="33" customWidth="1"/>
    <col min="10" max="16384" width="9.140625" style="51"/>
  </cols>
  <sheetData>
    <row r="1" spans="1:9" ht="90.75" customHeight="1"/>
    <row r="2" spans="1:9" ht="15.75">
      <c r="C2" s="64"/>
      <c r="D2" s="64"/>
      <c r="E2" s="64"/>
      <c r="F2" s="64"/>
      <c r="G2" s="65" t="s">
        <v>47</v>
      </c>
      <c r="H2" s="63"/>
      <c r="I2" s="66" t="s">
        <v>124</v>
      </c>
    </row>
    <row r="3" spans="1:9" ht="15.75">
      <c r="C3" s="65" t="s">
        <v>130</v>
      </c>
      <c r="D3" s="64"/>
      <c r="E3" s="65" t="s">
        <v>134</v>
      </c>
      <c r="F3" s="64"/>
      <c r="G3" s="65" t="s">
        <v>49</v>
      </c>
      <c r="H3" s="63"/>
      <c r="I3" s="66" t="s">
        <v>49</v>
      </c>
    </row>
    <row r="4" spans="1:9" ht="15.75">
      <c r="C4" s="67" t="s">
        <v>48</v>
      </c>
      <c r="D4" s="64"/>
      <c r="E4" s="67" t="s">
        <v>48</v>
      </c>
      <c r="F4" s="64"/>
      <c r="G4" s="67" t="s">
        <v>50</v>
      </c>
      <c r="H4" s="63"/>
      <c r="I4" s="68" t="s">
        <v>50</v>
      </c>
    </row>
    <row r="5" spans="1:9" ht="15">
      <c r="A5" s="126" t="s">
        <v>51</v>
      </c>
      <c r="B5" s="126"/>
      <c r="C5" s="69"/>
      <c r="D5" s="127"/>
      <c r="E5" s="69"/>
      <c r="F5" s="127"/>
      <c r="G5" s="69"/>
      <c r="H5" s="126"/>
      <c r="I5" s="93"/>
    </row>
    <row r="6" spans="1:9" ht="6.75" customHeight="1">
      <c r="A6" s="126"/>
      <c r="B6" s="126"/>
      <c r="C6" s="69"/>
      <c r="D6" s="127"/>
      <c r="E6" s="69"/>
      <c r="F6" s="127"/>
      <c r="G6" s="69"/>
      <c r="H6" s="126"/>
      <c r="I6" s="93"/>
    </row>
    <row r="7" spans="1:9" ht="15">
      <c r="A7" s="126" t="s">
        <v>83</v>
      </c>
      <c r="B7" s="126"/>
      <c r="C7" s="86">
        <v>12251470</v>
      </c>
      <c r="D7" s="86"/>
      <c r="E7" s="86">
        <v>11618196</v>
      </c>
      <c r="F7" s="127"/>
      <c r="G7" s="69">
        <f>E7-C7</f>
        <v>-633274</v>
      </c>
      <c r="H7" s="126"/>
      <c r="I7" s="93">
        <f>(E7-C7)/C7</f>
        <v>-5.1689633978616444E-2</v>
      </c>
    </row>
    <row r="8" spans="1:9" ht="15">
      <c r="A8" s="126" t="s">
        <v>105</v>
      </c>
      <c r="B8" s="126"/>
      <c r="C8" s="96">
        <f>5740001+912120+2343977</f>
        <v>8996098</v>
      </c>
      <c r="D8" s="127"/>
      <c r="E8" s="96">
        <v>8341761</v>
      </c>
      <c r="F8" s="127"/>
      <c r="G8" s="69">
        <f>E8-C8</f>
        <v>-654337</v>
      </c>
      <c r="H8" s="126"/>
      <c r="I8" s="93">
        <f>(E8-C8)/C8</f>
        <v>-7.2735646054544981E-2</v>
      </c>
    </row>
    <row r="9" spans="1:9" ht="15">
      <c r="A9" s="126" t="s">
        <v>121</v>
      </c>
      <c r="B9" s="126"/>
      <c r="C9" s="96">
        <v>1057000</v>
      </c>
      <c r="D9" s="127"/>
      <c r="E9" s="96">
        <v>734751</v>
      </c>
      <c r="F9" s="127"/>
      <c r="G9" s="74">
        <f>E9-C9</f>
        <v>-322249</v>
      </c>
      <c r="H9" s="126"/>
      <c r="I9" s="93">
        <f>(E9-C9)/C9</f>
        <v>-0.3048713339640492</v>
      </c>
    </row>
    <row r="10" spans="1:9" ht="15">
      <c r="A10" s="90" t="s">
        <v>136</v>
      </c>
      <c r="B10" s="126"/>
      <c r="C10" s="96">
        <v>0</v>
      </c>
      <c r="D10" s="127"/>
      <c r="E10" s="96">
        <v>928280</v>
      </c>
      <c r="F10" s="127"/>
      <c r="G10" s="74"/>
      <c r="H10" s="126"/>
      <c r="I10" s="93"/>
    </row>
    <row r="11" spans="1:9" ht="4.5" customHeight="1">
      <c r="A11" s="126"/>
      <c r="B11" s="126"/>
      <c r="C11" s="96"/>
      <c r="D11" s="127"/>
      <c r="E11" s="96"/>
      <c r="F11" s="127"/>
      <c r="G11" s="74"/>
      <c r="H11" s="126"/>
      <c r="I11" s="93"/>
    </row>
    <row r="12" spans="1:9" ht="15">
      <c r="A12" s="126" t="s">
        <v>29</v>
      </c>
      <c r="B12" s="126"/>
      <c r="C12" s="89">
        <f>SUM(C7:C10)</f>
        <v>22304568</v>
      </c>
      <c r="D12" s="86"/>
      <c r="E12" s="89">
        <f>SUM(E7:E10)</f>
        <v>21622988</v>
      </c>
      <c r="F12" s="127"/>
      <c r="G12" s="72">
        <f>E12-C12</f>
        <v>-681580</v>
      </c>
      <c r="H12" s="126"/>
      <c r="I12" s="97">
        <f>(E12-C12)/C12</f>
        <v>-3.0557865994086952E-2</v>
      </c>
    </row>
    <row r="13" spans="1:9" ht="15">
      <c r="A13" s="126"/>
      <c r="B13" s="126"/>
      <c r="C13" s="74"/>
      <c r="D13" s="127"/>
      <c r="E13" s="74"/>
      <c r="F13" s="127"/>
      <c r="G13" s="74"/>
      <c r="H13" s="126"/>
      <c r="I13" s="98"/>
    </row>
    <row r="14" spans="1:9" ht="15">
      <c r="A14" s="118" t="s">
        <v>30</v>
      </c>
      <c r="B14" s="126"/>
      <c r="C14" s="69">
        <v>2271163</v>
      </c>
      <c r="D14" s="127"/>
      <c r="E14" s="69">
        <v>1995233</v>
      </c>
      <c r="F14" s="127"/>
      <c r="G14" s="69">
        <f>E14-C14</f>
        <v>-275930</v>
      </c>
      <c r="H14" s="126"/>
      <c r="I14" s="93">
        <f>(E14-C14)/C14</f>
        <v>-0.12149282107889219</v>
      </c>
    </row>
    <row r="15" spans="1:9" ht="9.75" customHeight="1">
      <c r="A15" s="118"/>
      <c r="B15" s="126"/>
      <c r="C15" s="69"/>
      <c r="D15" s="127"/>
      <c r="E15" s="69"/>
      <c r="F15" s="127"/>
      <c r="G15" s="69"/>
      <c r="H15" s="126"/>
      <c r="I15" s="93"/>
    </row>
    <row r="16" spans="1:9" s="130" customFormat="1" ht="18.75" thickBot="1">
      <c r="A16" s="130" t="s">
        <v>35</v>
      </c>
      <c r="C16" s="87">
        <f>SUM(C12:C14)</f>
        <v>24575731</v>
      </c>
      <c r="D16" s="88"/>
      <c r="E16" s="87">
        <f>SUM(E12:E14)</f>
        <v>23618221</v>
      </c>
      <c r="F16" s="131"/>
      <c r="G16" s="84">
        <f>E16-C16</f>
        <v>-957510</v>
      </c>
      <c r="I16" s="102">
        <f>(E16-C16)/C16</f>
        <v>-3.8961608100283977E-2</v>
      </c>
    </row>
    <row r="17" spans="1:9" ht="15.75" thickTop="1">
      <c r="A17" s="126"/>
      <c r="B17" s="126"/>
      <c r="C17" s="69"/>
      <c r="D17" s="127"/>
      <c r="E17" s="69"/>
      <c r="F17" s="127"/>
      <c r="G17" s="69"/>
      <c r="H17" s="126"/>
      <c r="I17" s="93"/>
    </row>
    <row r="18" spans="1:9" ht="15" hidden="1">
      <c r="A18" s="126" t="s">
        <v>59</v>
      </c>
      <c r="B18" s="126"/>
      <c r="C18" s="69"/>
      <c r="D18" s="127"/>
      <c r="E18" s="69"/>
      <c r="F18" s="127"/>
      <c r="G18" s="69"/>
      <c r="H18" s="126"/>
      <c r="I18" s="93"/>
    </row>
    <row r="19" spans="1:9" ht="15" hidden="1">
      <c r="A19" s="126" t="s">
        <v>109</v>
      </c>
      <c r="B19" s="126"/>
      <c r="C19" s="96">
        <v>0</v>
      </c>
      <c r="D19" s="127"/>
      <c r="E19" s="96">
        <v>0</v>
      </c>
      <c r="F19" s="127"/>
      <c r="G19" s="69">
        <f t="shared" ref="G19:G32" si="0">E19-C19</f>
        <v>0</v>
      </c>
      <c r="H19" s="126"/>
      <c r="I19" s="93">
        <v>0</v>
      </c>
    </row>
    <row r="20" spans="1:9" ht="15" hidden="1">
      <c r="A20" s="126" t="s">
        <v>91</v>
      </c>
      <c r="B20" s="126"/>
      <c r="C20" s="96">
        <v>2769262</v>
      </c>
      <c r="D20" s="127"/>
      <c r="E20" s="96">
        <v>2769262</v>
      </c>
      <c r="F20" s="127"/>
      <c r="G20" s="69">
        <f t="shared" si="0"/>
        <v>0</v>
      </c>
      <c r="H20" s="126"/>
      <c r="I20" s="93">
        <f t="shared" ref="I20:I32" si="1">G20/C20</f>
        <v>0</v>
      </c>
    </row>
    <row r="21" spans="1:9" ht="15" hidden="1">
      <c r="A21" s="126" t="s">
        <v>92</v>
      </c>
      <c r="B21" s="126"/>
      <c r="C21" s="96">
        <v>1752820</v>
      </c>
      <c r="D21" s="127"/>
      <c r="E21" s="96">
        <v>1752820</v>
      </c>
      <c r="F21" s="127"/>
      <c r="G21" s="69">
        <f t="shared" si="0"/>
        <v>0</v>
      </c>
      <c r="H21" s="126"/>
      <c r="I21" s="93">
        <f t="shared" si="1"/>
        <v>0</v>
      </c>
    </row>
    <row r="22" spans="1:9" ht="15" hidden="1">
      <c r="A22" s="126" t="s">
        <v>93</v>
      </c>
      <c r="B22" s="126"/>
      <c r="C22" s="96">
        <v>1817800</v>
      </c>
      <c r="D22" s="127"/>
      <c r="E22" s="96">
        <v>1817800</v>
      </c>
      <c r="F22" s="127"/>
      <c r="G22" s="69">
        <f t="shared" si="0"/>
        <v>0</v>
      </c>
      <c r="H22" s="126"/>
      <c r="I22" s="93">
        <f t="shared" si="1"/>
        <v>0</v>
      </c>
    </row>
    <row r="23" spans="1:9" ht="15" hidden="1">
      <c r="A23" s="126" t="s">
        <v>94</v>
      </c>
      <c r="B23" s="126"/>
      <c r="C23" s="96">
        <v>922754</v>
      </c>
      <c r="D23" s="127"/>
      <c r="E23" s="96">
        <v>922754</v>
      </c>
      <c r="F23" s="127"/>
      <c r="G23" s="69">
        <f t="shared" si="0"/>
        <v>0</v>
      </c>
      <c r="H23" s="126"/>
      <c r="I23" s="93">
        <f t="shared" si="1"/>
        <v>0</v>
      </c>
    </row>
    <row r="24" spans="1:9" ht="15" hidden="1">
      <c r="A24" s="126" t="s">
        <v>95</v>
      </c>
      <c r="B24" s="126"/>
      <c r="C24" s="96">
        <v>1092305</v>
      </c>
      <c r="D24" s="127"/>
      <c r="E24" s="96">
        <v>1092305</v>
      </c>
      <c r="F24" s="127"/>
      <c r="G24" s="69">
        <f t="shared" si="0"/>
        <v>0</v>
      </c>
      <c r="H24" s="126"/>
      <c r="I24" s="93">
        <f t="shared" si="1"/>
        <v>0</v>
      </c>
    </row>
    <row r="25" spans="1:9" ht="15" hidden="1">
      <c r="A25" s="126" t="s">
        <v>103</v>
      </c>
      <c r="B25" s="126"/>
      <c r="C25" s="96">
        <v>519660</v>
      </c>
      <c r="D25" s="127"/>
      <c r="E25" s="96">
        <v>519660</v>
      </c>
      <c r="F25" s="127"/>
      <c r="G25" s="69">
        <f t="shared" si="0"/>
        <v>0</v>
      </c>
      <c r="H25" s="126"/>
      <c r="I25" s="93">
        <f t="shared" si="1"/>
        <v>0</v>
      </c>
    </row>
    <row r="26" spans="1:9" ht="15" hidden="1">
      <c r="A26" s="126" t="s">
        <v>96</v>
      </c>
      <c r="B26" s="126"/>
      <c r="C26" s="96">
        <v>164895</v>
      </c>
      <c r="D26" s="127"/>
      <c r="E26" s="96">
        <v>164895</v>
      </c>
      <c r="F26" s="127"/>
      <c r="G26" s="69">
        <f t="shared" si="0"/>
        <v>0</v>
      </c>
      <c r="H26" s="126"/>
      <c r="I26" s="93">
        <f t="shared" si="1"/>
        <v>0</v>
      </c>
    </row>
    <row r="27" spans="1:9" ht="15" hidden="1">
      <c r="A27" s="126" t="s">
        <v>97</v>
      </c>
      <c r="B27" s="126"/>
      <c r="C27" s="96">
        <v>301440</v>
      </c>
      <c r="D27" s="127"/>
      <c r="E27" s="96">
        <v>301440</v>
      </c>
      <c r="F27" s="127"/>
      <c r="G27" s="69">
        <f t="shared" si="0"/>
        <v>0</v>
      </c>
      <c r="H27" s="126"/>
      <c r="I27" s="93">
        <f t="shared" si="1"/>
        <v>0</v>
      </c>
    </row>
    <row r="28" spans="1:9" ht="15" hidden="1">
      <c r="A28" s="126" t="s">
        <v>98</v>
      </c>
      <c r="B28" s="126"/>
      <c r="C28" s="96">
        <v>597865</v>
      </c>
      <c r="D28" s="127"/>
      <c r="E28" s="96">
        <v>597865</v>
      </c>
      <c r="F28" s="127"/>
      <c r="G28" s="69">
        <f t="shared" si="0"/>
        <v>0</v>
      </c>
      <c r="H28" s="126"/>
      <c r="I28" s="93">
        <f t="shared" si="1"/>
        <v>0</v>
      </c>
    </row>
    <row r="29" spans="1:9" ht="15" hidden="1">
      <c r="A29" s="126" t="s">
        <v>122</v>
      </c>
      <c r="B29" s="126"/>
      <c r="C29" s="96">
        <v>152622</v>
      </c>
      <c r="D29" s="127"/>
      <c r="E29" s="96">
        <v>152622</v>
      </c>
      <c r="F29" s="127"/>
      <c r="G29" s="69">
        <f t="shared" si="0"/>
        <v>0</v>
      </c>
      <c r="H29" s="126"/>
      <c r="I29" s="93">
        <f t="shared" si="1"/>
        <v>0</v>
      </c>
    </row>
    <row r="30" spans="1:9" ht="15" hidden="1">
      <c r="A30" s="126" t="s">
        <v>99</v>
      </c>
      <c r="B30" s="126"/>
      <c r="C30" s="96">
        <v>1248994</v>
      </c>
      <c r="D30" s="127"/>
      <c r="E30" s="96">
        <v>1248994</v>
      </c>
      <c r="F30" s="127"/>
      <c r="G30" s="69">
        <f t="shared" si="0"/>
        <v>0</v>
      </c>
      <c r="H30" s="126"/>
      <c r="I30" s="93">
        <f t="shared" si="1"/>
        <v>0</v>
      </c>
    </row>
    <row r="31" spans="1:9" ht="15" hidden="1">
      <c r="A31" s="126" t="s">
        <v>100</v>
      </c>
      <c r="B31" s="126"/>
      <c r="C31" s="96">
        <v>8736633</v>
      </c>
      <c r="D31" s="127"/>
      <c r="E31" s="96">
        <v>8736633</v>
      </c>
      <c r="F31" s="127"/>
      <c r="G31" s="69">
        <f t="shared" si="0"/>
        <v>0</v>
      </c>
      <c r="H31" s="126"/>
      <c r="I31" s="93">
        <f t="shared" si="1"/>
        <v>0</v>
      </c>
    </row>
    <row r="32" spans="1:9" ht="15.75" hidden="1" thickBot="1">
      <c r="A32" s="126" t="s">
        <v>74</v>
      </c>
      <c r="B32" s="126"/>
      <c r="C32" s="76">
        <f>SUM(C19:C31)</f>
        <v>20077050</v>
      </c>
      <c r="D32" s="127"/>
      <c r="E32" s="76">
        <f>SUM(E19:E31)</f>
        <v>20077050</v>
      </c>
      <c r="F32" s="127"/>
      <c r="G32" s="76">
        <f t="shared" si="0"/>
        <v>0</v>
      </c>
      <c r="H32" s="126"/>
      <c r="I32" s="99">
        <f t="shared" si="1"/>
        <v>0</v>
      </c>
    </row>
    <row r="33" spans="1:9" ht="15">
      <c r="A33" s="126"/>
      <c r="B33" s="126"/>
      <c r="C33" s="69"/>
      <c r="D33" s="127"/>
      <c r="E33" s="69"/>
      <c r="F33" s="127"/>
      <c r="G33" s="69"/>
      <c r="H33" s="126"/>
      <c r="I33" s="93"/>
    </row>
    <row r="34" spans="1:9" ht="15">
      <c r="A34" s="62" t="s">
        <v>123</v>
      </c>
      <c r="B34" s="126"/>
      <c r="C34" s="69"/>
      <c r="D34" s="127"/>
      <c r="E34" s="69"/>
      <c r="F34" s="127"/>
      <c r="G34" s="69"/>
      <c r="H34" s="126"/>
      <c r="I34" s="93"/>
    </row>
    <row r="35" spans="1:9" ht="6.75" customHeight="1">
      <c r="A35" s="62"/>
      <c r="B35" s="126"/>
      <c r="C35" s="69"/>
      <c r="D35" s="127"/>
      <c r="E35" s="69"/>
      <c r="F35" s="127"/>
      <c r="G35" s="69"/>
      <c r="H35" s="126"/>
      <c r="I35" s="93"/>
    </row>
    <row r="36" spans="1:9" ht="15">
      <c r="A36" s="126" t="s">
        <v>111</v>
      </c>
      <c r="B36" s="126"/>
      <c r="C36" s="86">
        <v>12912718</v>
      </c>
      <c r="D36" s="86"/>
      <c r="E36" s="86">
        <v>12323432</v>
      </c>
      <c r="F36" s="127"/>
      <c r="G36" s="69">
        <f t="shared" ref="G36:G46" si="2">E36-C36</f>
        <v>-589286</v>
      </c>
      <c r="H36" s="126"/>
      <c r="I36" s="93">
        <f>(E36-C36)/C36</f>
        <v>-4.5636093036338282E-2</v>
      </c>
    </row>
    <row r="37" spans="1:9" ht="15">
      <c r="A37" s="126" t="s">
        <v>119</v>
      </c>
      <c r="B37" s="126"/>
      <c r="C37" s="80">
        <v>388638</v>
      </c>
      <c r="D37" s="127"/>
      <c r="E37" s="80">
        <v>372548</v>
      </c>
      <c r="F37" s="127"/>
      <c r="G37" s="69">
        <f t="shared" si="2"/>
        <v>-16090</v>
      </c>
      <c r="H37" s="126"/>
      <c r="I37" s="93">
        <f t="shared" ref="I37:I44" si="3">(E37-C37)/C37</f>
        <v>-4.1400995270663189E-2</v>
      </c>
    </row>
    <row r="38" spans="1:9" ht="15">
      <c r="A38" s="126" t="s">
        <v>120</v>
      </c>
      <c r="B38" s="126"/>
      <c r="C38" s="80">
        <v>130592</v>
      </c>
      <c r="D38" s="127"/>
      <c r="E38" s="80">
        <v>145907</v>
      </c>
      <c r="F38" s="127"/>
      <c r="G38" s="69">
        <f t="shared" si="2"/>
        <v>15315</v>
      </c>
      <c r="H38" s="126"/>
      <c r="I38" s="93">
        <f t="shared" si="3"/>
        <v>0.11727364616515559</v>
      </c>
    </row>
    <row r="39" spans="1:9" ht="15">
      <c r="A39" s="126" t="s">
        <v>112</v>
      </c>
      <c r="B39" s="126"/>
      <c r="C39" s="80">
        <v>1275329</v>
      </c>
      <c r="D39" s="127"/>
      <c r="E39" s="80">
        <v>1379180</v>
      </c>
      <c r="F39" s="127"/>
      <c r="G39" s="69">
        <f t="shared" si="2"/>
        <v>103851</v>
      </c>
      <c r="H39" s="126"/>
      <c r="I39" s="93">
        <f t="shared" si="3"/>
        <v>8.1430752378405885E-2</v>
      </c>
    </row>
    <row r="40" spans="1:9" ht="15">
      <c r="A40" s="126" t="s">
        <v>113</v>
      </c>
      <c r="B40" s="126"/>
      <c r="C40" s="80">
        <f>2167602-C39</f>
        <v>892273</v>
      </c>
      <c r="D40" s="127"/>
      <c r="E40" s="80">
        <f>2260378-E39</f>
        <v>881198</v>
      </c>
      <c r="F40" s="127"/>
      <c r="G40" s="69">
        <f t="shared" si="2"/>
        <v>-11075</v>
      </c>
      <c r="H40" s="126"/>
      <c r="I40" s="93">
        <f t="shared" si="3"/>
        <v>-1.2412120505719663E-2</v>
      </c>
    </row>
    <row r="41" spans="1:9" ht="15">
      <c r="A41" s="126" t="s">
        <v>114</v>
      </c>
      <c r="B41" s="126"/>
      <c r="C41" s="80">
        <v>2122844</v>
      </c>
      <c r="D41" s="127"/>
      <c r="E41" s="80">
        <v>2034159</v>
      </c>
      <c r="F41" s="127"/>
      <c r="G41" s="69">
        <f t="shared" si="2"/>
        <v>-88685</v>
      </c>
      <c r="H41" s="126"/>
      <c r="I41" s="93">
        <f t="shared" si="3"/>
        <v>-4.1776503596119167E-2</v>
      </c>
    </row>
    <row r="42" spans="1:9" ht="15">
      <c r="A42" s="126" t="s">
        <v>115</v>
      </c>
      <c r="B42" s="126"/>
      <c r="C42" s="80">
        <v>2648768</v>
      </c>
      <c r="D42" s="127"/>
      <c r="E42" s="80">
        <v>2745710</v>
      </c>
      <c r="F42" s="127"/>
      <c r="G42" s="69">
        <f t="shared" si="2"/>
        <v>96942</v>
      </c>
      <c r="H42" s="126"/>
      <c r="I42" s="93">
        <f t="shared" si="3"/>
        <v>3.6598901829076762E-2</v>
      </c>
    </row>
    <row r="43" spans="1:9" ht="15">
      <c r="A43" s="126" t="s">
        <v>116</v>
      </c>
      <c r="B43" s="126"/>
      <c r="C43" s="81">
        <v>3954569</v>
      </c>
      <c r="D43" s="127"/>
      <c r="E43" s="81">
        <v>3486087</v>
      </c>
      <c r="F43" s="127"/>
      <c r="G43" s="69">
        <f t="shared" si="2"/>
        <v>-468482</v>
      </c>
      <c r="H43" s="126"/>
      <c r="I43" s="93">
        <f t="shared" si="3"/>
        <v>-0.11846600729434738</v>
      </c>
    </row>
    <row r="44" spans="1:9" ht="15">
      <c r="A44" s="126" t="s">
        <v>110</v>
      </c>
      <c r="B44" s="126"/>
      <c r="C44" s="81">
        <v>250000</v>
      </c>
      <c r="D44" s="127"/>
      <c r="E44" s="81">
        <v>250000</v>
      </c>
      <c r="F44" s="127"/>
      <c r="G44" s="69">
        <f t="shared" si="2"/>
        <v>0</v>
      </c>
      <c r="H44" s="126"/>
      <c r="I44" s="93">
        <f t="shared" si="3"/>
        <v>0</v>
      </c>
    </row>
    <row r="45" spans="1:9" ht="8.25" customHeight="1">
      <c r="A45" s="126"/>
      <c r="B45" s="126"/>
      <c r="C45" s="81"/>
      <c r="D45" s="127"/>
      <c r="E45" s="81"/>
      <c r="F45" s="127"/>
      <c r="G45" s="69"/>
      <c r="H45" s="126"/>
      <c r="I45" s="98"/>
    </row>
    <row r="46" spans="1:9" s="130" customFormat="1" ht="18.75" thickBot="1">
      <c r="A46" s="114" t="s">
        <v>46</v>
      </c>
      <c r="C46" s="87">
        <f>SUM(C36:C44)</f>
        <v>24575731</v>
      </c>
      <c r="D46" s="88"/>
      <c r="E46" s="87">
        <f>SUM(E36:E44)</f>
        <v>23618221</v>
      </c>
      <c r="F46" s="131"/>
      <c r="G46" s="84">
        <f t="shared" si="2"/>
        <v>-957510</v>
      </c>
      <c r="I46" s="102">
        <f>(E46-C46)/C46</f>
        <v>-3.8961608100283977E-2</v>
      </c>
    </row>
    <row r="47" spans="1:9" ht="15.75" thickTop="1">
      <c r="A47" s="126"/>
      <c r="B47" s="126"/>
      <c r="C47" s="69"/>
      <c r="D47" s="127"/>
      <c r="E47" s="69"/>
      <c r="F47" s="127"/>
      <c r="G47" s="69"/>
      <c r="H47" s="126"/>
      <c r="I47" s="93"/>
    </row>
    <row r="48" spans="1:9" ht="15">
      <c r="A48" s="126"/>
      <c r="B48" s="126"/>
      <c r="C48" s="69"/>
      <c r="D48" s="127"/>
      <c r="E48" s="69"/>
      <c r="F48" s="127"/>
      <c r="G48" s="69"/>
      <c r="H48" s="126"/>
      <c r="I48" s="93"/>
    </row>
  </sheetData>
  <phoneticPr fontId="0" type="noConversion"/>
  <printOptions horizontalCentered="1" gridLinesSet="0"/>
  <pageMargins left="1" right="1" top="1" bottom="1" header="0.5" footer="0.5"/>
  <pageSetup scale="84" orientation="landscape" horizontalDpi="300" verticalDpi="300" r:id="rId1"/>
  <headerFooter alignWithMargins="0">
    <oddHeader>&amp;C
&amp;"Arial,Bold"&amp;18OSU - TULSA
SUMMARY OF REVENUE &amp;&amp; EXPENDITURES
Education &amp;&amp; General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All Agency</vt:lpstr>
      <vt:lpstr>Gen Univ Sum</vt:lpstr>
      <vt:lpstr>Ag Exp </vt:lpstr>
      <vt:lpstr>Coop Ext</vt:lpstr>
      <vt:lpstr>Okm </vt:lpstr>
      <vt:lpstr>Vet Med </vt:lpstr>
      <vt:lpstr>OKC </vt:lpstr>
      <vt:lpstr>CHS</vt:lpstr>
      <vt:lpstr>Tulsa </vt:lpstr>
      <vt:lpstr>'All Agency'!Print_Area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Murphy</dc:creator>
  <cp:lastModifiedBy>padmava</cp:lastModifiedBy>
  <cp:lastPrinted>2009-06-03T14:21:06Z</cp:lastPrinted>
  <dcterms:created xsi:type="dcterms:W3CDTF">2005-06-08T16:32:16Z</dcterms:created>
  <dcterms:modified xsi:type="dcterms:W3CDTF">2009-06-29T21:16:00Z</dcterms:modified>
</cp:coreProperties>
</file>