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GCFA\COST\FILES\Research Report\16Report\Final - With Supplemental Information\"/>
    </mc:Choice>
  </mc:AlternateContent>
  <bookViews>
    <workbookView xWindow="0" yWindow="0" windowWidth="14370" windowHeight="7215" activeTab="4"/>
  </bookViews>
  <sheets>
    <sheet name="Sponsored Programs" sheetId="1" r:id="rId1"/>
    <sheet name="Research" sheetId="4" r:id="rId2"/>
    <sheet name="Instruction" sheetId="3" r:id="rId3"/>
    <sheet name="Extension" sheetId="2" r:id="rId4"/>
    <sheet name="Supplemental Info" sheetId="5" r:id="rId5"/>
    <sheet name="Sheet1" sheetId="6" r:id="rId6"/>
  </sheets>
  <definedNames>
    <definedName name="_xlnm.Print_Area" localSheetId="3">Extension!$A$1:$Q$61</definedName>
    <definedName name="_xlnm.Print_Area" localSheetId="2">Instruction!$A$1:$R$63</definedName>
    <definedName name="_xlnm.Print_Area" localSheetId="1">Research!$A$1:$R$62</definedName>
    <definedName name="_xlnm.Print_Area" localSheetId="0">'Sponsored Programs'!$A$1:$R$65</definedName>
  </definedNames>
  <calcPr calcId="152511"/>
</workbook>
</file>

<file path=xl/calcChain.xml><?xml version="1.0" encoding="utf-8"?>
<calcChain xmlns="http://schemas.openxmlformats.org/spreadsheetml/2006/main">
  <c r="M23" i="5" l="1"/>
  <c r="L23" i="5"/>
  <c r="K23" i="5"/>
  <c r="J23" i="5"/>
  <c r="I23" i="5"/>
  <c r="H23" i="5"/>
  <c r="G23" i="5"/>
  <c r="F23" i="5"/>
  <c r="E23" i="5"/>
  <c r="D23" i="5"/>
  <c r="C23" i="5"/>
  <c r="B23" i="5"/>
  <c r="K17" i="4"/>
  <c r="K22" i="3"/>
  <c r="M49" i="5"/>
  <c r="L49" i="5"/>
  <c r="K49" i="5"/>
  <c r="J49" i="5"/>
  <c r="I49" i="5"/>
  <c r="H49" i="5"/>
  <c r="G49" i="5"/>
  <c r="F49" i="5"/>
  <c r="E49" i="5"/>
  <c r="D49" i="5"/>
  <c r="C49" i="5"/>
  <c r="B49" i="5"/>
  <c r="M36" i="5"/>
  <c r="L36" i="5"/>
  <c r="K36" i="5"/>
  <c r="J36" i="5"/>
  <c r="I36" i="5"/>
  <c r="H36" i="5"/>
  <c r="G36" i="5"/>
  <c r="F36" i="5"/>
  <c r="E36" i="5"/>
  <c r="D36" i="5"/>
  <c r="C36" i="5"/>
  <c r="B36" i="5"/>
  <c r="K231" i="6"/>
  <c r="J231" i="6"/>
  <c r="I231" i="6"/>
  <c r="E231" i="6"/>
  <c r="E120" i="6"/>
  <c r="K112" i="6"/>
  <c r="J112" i="6"/>
  <c r="I112" i="6"/>
  <c r="E112" i="6"/>
  <c r="K98" i="6"/>
  <c r="J98" i="6"/>
  <c r="I98" i="6"/>
  <c r="E98" i="6"/>
  <c r="K90" i="6"/>
  <c r="J90" i="6"/>
  <c r="I90" i="6"/>
  <c r="E90" i="6"/>
  <c r="E71" i="6"/>
  <c r="K38" i="6"/>
  <c r="J38" i="6"/>
  <c r="I38" i="6"/>
  <c r="E38" i="6"/>
  <c r="K35" i="6"/>
  <c r="J35" i="6"/>
  <c r="I35" i="6"/>
  <c r="E35" i="6"/>
  <c r="E24" i="6"/>
  <c r="E19" i="6"/>
  <c r="K7" i="6"/>
  <c r="J7" i="6"/>
  <c r="I7" i="6"/>
  <c r="K70" i="6"/>
  <c r="J70" i="6"/>
  <c r="I70" i="6"/>
  <c r="K69" i="6"/>
  <c r="J69" i="6"/>
  <c r="I69" i="6"/>
  <c r="K68" i="6"/>
  <c r="J68" i="6"/>
  <c r="I68" i="6"/>
  <c r="K66" i="6"/>
  <c r="J66" i="6"/>
  <c r="I66" i="6"/>
  <c r="K65" i="6"/>
  <c r="J65" i="6"/>
  <c r="I65" i="6"/>
  <c r="K64" i="6"/>
  <c r="J64" i="6"/>
  <c r="I64" i="6"/>
  <c r="K63" i="6"/>
  <c r="J63" i="6"/>
  <c r="I63" i="6"/>
  <c r="K62" i="6"/>
  <c r="J62" i="6"/>
  <c r="I62" i="6"/>
  <c r="K61" i="6"/>
  <c r="J61" i="6"/>
  <c r="I61" i="6"/>
  <c r="K4" i="6"/>
  <c r="K19" i="6"/>
  <c r="J4" i="6"/>
  <c r="I4" i="6"/>
  <c r="K59" i="6"/>
  <c r="J59" i="6"/>
  <c r="I59" i="6"/>
  <c r="K57" i="6"/>
  <c r="J57" i="6"/>
  <c r="I57" i="6"/>
  <c r="K56" i="6"/>
  <c r="J56" i="6"/>
  <c r="I56" i="6"/>
  <c r="K55" i="6"/>
  <c r="J55" i="6"/>
  <c r="I55" i="6"/>
  <c r="K54" i="6"/>
  <c r="J54" i="6"/>
  <c r="I54" i="6"/>
  <c r="K49" i="6"/>
  <c r="J49" i="6"/>
  <c r="I49" i="6"/>
  <c r="K44" i="6"/>
  <c r="J44" i="6"/>
  <c r="I44" i="6"/>
  <c r="K117" i="6"/>
  <c r="J117" i="6"/>
  <c r="K116" i="6"/>
  <c r="J116" i="6"/>
  <c r="I116" i="6"/>
  <c r="K115" i="6"/>
  <c r="J115" i="6"/>
  <c r="J6" i="6"/>
  <c r="I6" i="6"/>
  <c r="K114" i="6"/>
  <c r="J114" i="6"/>
  <c r="I114" i="6"/>
  <c r="K67" i="6"/>
  <c r="J67" i="6"/>
  <c r="K60" i="6"/>
  <c r="J60" i="6"/>
  <c r="K23" i="6"/>
  <c r="K24" i="6"/>
  <c r="J23" i="6"/>
  <c r="I23" i="6"/>
  <c r="K53" i="6"/>
  <c r="J53" i="6"/>
  <c r="K48" i="6"/>
  <c r="J48" i="6"/>
  <c r="K47" i="6"/>
  <c r="J47" i="6"/>
  <c r="J22" i="6"/>
  <c r="I22" i="6"/>
  <c r="K45" i="6"/>
  <c r="J45" i="6"/>
  <c r="K113" i="6"/>
  <c r="K120" i="6"/>
  <c r="J113" i="6"/>
  <c r="I113" i="6"/>
  <c r="I120" i="6"/>
  <c r="J2" i="6"/>
  <c r="I2" i="6"/>
  <c r="I19" i="6"/>
  <c r="J40" i="6"/>
  <c r="I40" i="6"/>
  <c r="J20" i="6"/>
  <c r="I20" i="6"/>
  <c r="I24" i="6"/>
  <c r="O73" i="5"/>
  <c r="O75" i="5"/>
  <c r="O72" i="5"/>
  <c r="O59" i="5"/>
  <c r="N62" i="5"/>
  <c r="N75" i="5"/>
  <c r="P23" i="2"/>
  <c r="P25" i="2"/>
  <c r="P22" i="2"/>
  <c r="P21" i="2"/>
  <c r="B8" i="5"/>
  <c r="C7" i="5"/>
  <c r="D7" i="5"/>
  <c r="E7" i="5"/>
  <c r="F7" i="5"/>
  <c r="G7" i="5"/>
  <c r="H7" i="5"/>
  <c r="I7" i="5"/>
  <c r="J7" i="5"/>
  <c r="K7" i="5"/>
  <c r="L7" i="5"/>
  <c r="D8" i="5"/>
  <c r="E8" i="5"/>
  <c r="F8" i="5"/>
  <c r="G8" i="5"/>
  <c r="H8" i="5"/>
  <c r="I8" i="5"/>
  <c r="J8" i="5"/>
  <c r="K8" i="5"/>
  <c r="G9" i="5"/>
  <c r="H9" i="5"/>
  <c r="I9" i="5"/>
  <c r="J9" i="5"/>
  <c r="M75" i="5"/>
  <c r="L75" i="5"/>
  <c r="K75" i="5"/>
  <c r="J75" i="5"/>
  <c r="I75" i="5"/>
  <c r="H75" i="5"/>
  <c r="G75" i="5"/>
  <c r="F75" i="5"/>
  <c r="E75" i="5"/>
  <c r="D75" i="5"/>
  <c r="C75" i="5"/>
  <c r="B75" i="5"/>
  <c r="N48" i="5"/>
  <c r="N47" i="5"/>
  <c r="N46" i="5"/>
  <c r="N35" i="5"/>
  <c r="N34" i="5"/>
  <c r="N33" i="5"/>
  <c r="N22" i="5"/>
  <c r="N21" i="5"/>
  <c r="N20" i="5"/>
  <c r="M9" i="5"/>
  <c r="L9" i="5"/>
  <c r="K9" i="5"/>
  <c r="F9" i="5"/>
  <c r="E9" i="5"/>
  <c r="D9" i="5"/>
  <c r="C9" i="5"/>
  <c r="B9" i="5"/>
  <c r="M8" i="5"/>
  <c r="L8" i="5"/>
  <c r="C8" i="5"/>
  <c r="M7" i="5"/>
  <c r="B7" i="5"/>
  <c r="N12" i="2"/>
  <c r="M12" i="2"/>
  <c r="I12" i="2"/>
  <c r="H12" i="2"/>
  <c r="G12" i="2"/>
  <c r="F12" i="2"/>
  <c r="E12" i="2"/>
  <c r="D12" i="2"/>
  <c r="C12" i="2"/>
  <c r="O12" i="2"/>
  <c r="J12" i="2"/>
  <c r="B12" i="2"/>
  <c r="G12" i="3"/>
  <c r="P12" i="3"/>
  <c r="O12" i="3"/>
  <c r="N12" i="3"/>
  <c r="I12" i="3"/>
  <c r="H12" i="3"/>
  <c r="F12" i="3"/>
  <c r="D12" i="3"/>
  <c r="C12" i="3"/>
  <c r="J12" i="3"/>
  <c r="E12" i="3"/>
  <c r="B12" i="3"/>
  <c r="P12" i="4"/>
  <c r="I12" i="4"/>
  <c r="H12" i="4"/>
  <c r="G12" i="4"/>
  <c r="F12" i="4"/>
  <c r="E12" i="4"/>
  <c r="D12" i="4"/>
  <c r="B12" i="4"/>
  <c r="C12" i="4"/>
  <c r="N12" i="4"/>
  <c r="J12" i="4"/>
  <c r="L12" i="4"/>
  <c r="B10" i="4"/>
  <c r="C9" i="4"/>
  <c r="F9" i="3"/>
  <c r="F9" i="1"/>
  <c r="C16" i="4"/>
  <c r="C23" i="4"/>
  <c r="C21" i="4"/>
  <c r="C16" i="3"/>
  <c r="C23" i="3"/>
  <c r="C21" i="3"/>
  <c r="L21" i="3"/>
  <c r="K18" i="2"/>
  <c r="P18" i="2"/>
  <c r="D21" i="2"/>
  <c r="D37" i="2"/>
  <c r="C26" i="2"/>
  <c r="C18" i="2"/>
  <c r="C16" i="2"/>
  <c r="C23" i="2"/>
  <c r="K23" i="2"/>
  <c r="C21" i="2"/>
  <c r="C37" i="2"/>
  <c r="K30" i="1"/>
  <c r="K28" i="1"/>
  <c r="K27" i="1"/>
  <c r="K26" i="1"/>
  <c r="K23" i="1"/>
  <c r="K22" i="1"/>
  <c r="K32" i="1"/>
  <c r="K21" i="1"/>
  <c r="K18" i="1"/>
  <c r="K17" i="1"/>
  <c r="K16" i="1"/>
  <c r="K13" i="1"/>
  <c r="K12" i="1"/>
  <c r="K11" i="1"/>
  <c r="K10" i="1"/>
  <c r="K9" i="1"/>
  <c r="L30" i="3"/>
  <c r="L28" i="3"/>
  <c r="L27" i="3"/>
  <c r="Q27" i="3"/>
  <c r="L26" i="3"/>
  <c r="L23" i="3"/>
  <c r="Q23" i="3"/>
  <c r="L22" i="3"/>
  <c r="L18" i="3"/>
  <c r="L17" i="3"/>
  <c r="L16" i="3"/>
  <c r="Q16" i="3"/>
  <c r="L13" i="3"/>
  <c r="L12" i="3"/>
  <c r="Q12" i="3"/>
  <c r="R54" i="3"/>
  <c r="L11" i="3"/>
  <c r="L10" i="3"/>
  <c r="Q10" i="3"/>
  <c r="R58" i="3"/>
  <c r="L9" i="3"/>
  <c r="Q9" i="3"/>
  <c r="K25" i="3"/>
  <c r="K20" i="3"/>
  <c r="K15" i="3"/>
  <c r="K8" i="3"/>
  <c r="K34" i="3"/>
  <c r="E9" i="1"/>
  <c r="G9" i="1"/>
  <c r="H9" i="1"/>
  <c r="I9" i="1"/>
  <c r="J9" i="1"/>
  <c r="E10" i="1"/>
  <c r="F10" i="1"/>
  <c r="G10" i="1"/>
  <c r="H10" i="1"/>
  <c r="I10" i="1"/>
  <c r="J10" i="1"/>
  <c r="E11" i="1"/>
  <c r="F11" i="1"/>
  <c r="G11" i="1"/>
  <c r="H11" i="1"/>
  <c r="I11" i="1"/>
  <c r="J11" i="1"/>
  <c r="E12" i="1"/>
  <c r="F12" i="1"/>
  <c r="G12" i="1"/>
  <c r="H12" i="1"/>
  <c r="I12" i="1"/>
  <c r="J12" i="1"/>
  <c r="E13" i="1"/>
  <c r="F13" i="1"/>
  <c r="G13" i="1"/>
  <c r="H13" i="1"/>
  <c r="I13" i="1"/>
  <c r="J13" i="1"/>
  <c r="L26" i="4"/>
  <c r="O37" i="2"/>
  <c r="N37" i="2"/>
  <c r="M37" i="2"/>
  <c r="J37" i="2"/>
  <c r="I37" i="2"/>
  <c r="H37" i="2"/>
  <c r="G37" i="2"/>
  <c r="F37" i="2"/>
  <c r="E37" i="2"/>
  <c r="B37" i="2"/>
  <c r="P37" i="3"/>
  <c r="O37" i="3"/>
  <c r="N37" i="3"/>
  <c r="J37" i="3"/>
  <c r="I37" i="3"/>
  <c r="H37" i="3"/>
  <c r="G37" i="3"/>
  <c r="F37" i="3"/>
  <c r="E37" i="3"/>
  <c r="D37" i="3"/>
  <c r="B37" i="3"/>
  <c r="P37" i="4"/>
  <c r="O37" i="4"/>
  <c r="N37" i="4"/>
  <c r="K37" i="4"/>
  <c r="J37" i="4"/>
  <c r="I37" i="4"/>
  <c r="H37" i="4"/>
  <c r="G37" i="4"/>
  <c r="F37" i="4"/>
  <c r="E37" i="4"/>
  <c r="D37" i="4"/>
  <c r="C37" i="4"/>
  <c r="B37" i="4"/>
  <c r="F32" i="3"/>
  <c r="D8" i="3"/>
  <c r="M22" i="1"/>
  <c r="M20" i="1"/>
  <c r="M21" i="1"/>
  <c r="M30" i="1"/>
  <c r="M28" i="1"/>
  <c r="M27" i="1"/>
  <c r="M25" i="1"/>
  <c r="M34" i="1"/>
  <c r="M26" i="1"/>
  <c r="M23" i="1"/>
  <c r="M18" i="1"/>
  <c r="M16" i="1"/>
  <c r="M15" i="1"/>
  <c r="M13" i="1"/>
  <c r="M12" i="1"/>
  <c r="M10" i="1"/>
  <c r="M9" i="1"/>
  <c r="M30" i="4"/>
  <c r="M28" i="4"/>
  <c r="M26" i="4"/>
  <c r="M23" i="4"/>
  <c r="M21" i="4"/>
  <c r="M18" i="4"/>
  <c r="M16" i="4"/>
  <c r="M13" i="4"/>
  <c r="M12" i="4"/>
  <c r="M11" i="4"/>
  <c r="M10" i="4"/>
  <c r="M9" i="4"/>
  <c r="M28" i="3"/>
  <c r="M26" i="3"/>
  <c r="M23" i="3"/>
  <c r="M21" i="3"/>
  <c r="M20" i="3"/>
  <c r="M18" i="3"/>
  <c r="M16" i="3"/>
  <c r="M15" i="3"/>
  <c r="M12" i="3"/>
  <c r="M13" i="3"/>
  <c r="M8" i="3"/>
  <c r="M10" i="3"/>
  <c r="L10" i="2"/>
  <c r="L30" i="2"/>
  <c r="L28" i="2"/>
  <c r="L26" i="2"/>
  <c r="L25" i="2"/>
  <c r="L23" i="2"/>
  <c r="L21" i="2"/>
  <c r="L18" i="2"/>
  <c r="L16" i="2"/>
  <c r="L13" i="2"/>
  <c r="L12" i="2"/>
  <c r="L9" i="2"/>
  <c r="M25" i="4"/>
  <c r="M20" i="4"/>
  <c r="M15" i="4"/>
  <c r="M8" i="4"/>
  <c r="M25" i="3"/>
  <c r="L15" i="2"/>
  <c r="P20" i="4"/>
  <c r="P17" i="1"/>
  <c r="P12" i="1"/>
  <c r="P10" i="1"/>
  <c r="L30" i="4"/>
  <c r="Q30" i="4"/>
  <c r="L28" i="4"/>
  <c r="Q28" i="4"/>
  <c r="L27" i="4"/>
  <c r="L27" i="1"/>
  <c r="L23" i="4"/>
  <c r="Q23" i="4"/>
  <c r="L22" i="4"/>
  <c r="Q22" i="4"/>
  <c r="L21" i="4"/>
  <c r="Q21" i="4"/>
  <c r="L18" i="4"/>
  <c r="L17" i="4"/>
  <c r="Q17" i="4"/>
  <c r="Q15" i="4"/>
  <c r="L16" i="4"/>
  <c r="Q16" i="4"/>
  <c r="L13" i="4"/>
  <c r="Q13" i="4"/>
  <c r="Q12" i="4"/>
  <c r="L11" i="4"/>
  <c r="Q11" i="4"/>
  <c r="L10" i="4"/>
  <c r="Q10" i="4"/>
  <c r="L9" i="4"/>
  <c r="Q9" i="4"/>
  <c r="Q30" i="3"/>
  <c r="Q28" i="3"/>
  <c r="Q18" i="3"/>
  <c r="Q17" i="3"/>
  <c r="Q13" i="3"/>
  <c r="Q57" i="3"/>
  <c r="Q11" i="3"/>
  <c r="K9" i="2"/>
  <c r="P9" i="2"/>
  <c r="K30" i="2"/>
  <c r="P30" i="2"/>
  <c r="K28" i="2"/>
  <c r="K27" i="2"/>
  <c r="P27" i="2"/>
  <c r="K26" i="2"/>
  <c r="P26" i="2"/>
  <c r="K22" i="2"/>
  <c r="K21" i="2"/>
  <c r="K17" i="2"/>
  <c r="P17" i="2"/>
  <c r="K16" i="2"/>
  <c r="P16" i="2"/>
  <c r="K13" i="2"/>
  <c r="P13" i="2"/>
  <c r="K12" i="2"/>
  <c r="P12" i="2"/>
  <c r="K11" i="2"/>
  <c r="P11" i="2"/>
  <c r="K10" i="2"/>
  <c r="P10" i="2"/>
  <c r="H15" i="3"/>
  <c r="O8" i="3"/>
  <c r="G8" i="3"/>
  <c r="O8" i="4"/>
  <c r="Q12" i="2"/>
  <c r="R12" i="3"/>
  <c r="R12" i="4"/>
  <c r="R12" i="1"/>
  <c r="R8" i="1"/>
  <c r="K25" i="1"/>
  <c r="K32" i="4"/>
  <c r="K25" i="4"/>
  <c r="K20" i="4"/>
  <c r="K15" i="4"/>
  <c r="C8" i="2"/>
  <c r="P8" i="4"/>
  <c r="C15" i="2"/>
  <c r="G26" i="1"/>
  <c r="G21" i="1"/>
  <c r="P32" i="4"/>
  <c r="E32" i="4"/>
  <c r="C26" i="1"/>
  <c r="C16" i="1"/>
  <c r="I25" i="4"/>
  <c r="O20" i="3"/>
  <c r="B32" i="2"/>
  <c r="R62" i="1"/>
  <c r="R8" i="4"/>
  <c r="D32" i="3"/>
  <c r="Q32" i="2"/>
  <c r="N32" i="2"/>
  <c r="I32" i="2"/>
  <c r="M32" i="2"/>
  <c r="H32" i="2"/>
  <c r="G32" i="2"/>
  <c r="F32" i="2"/>
  <c r="E32" i="2"/>
  <c r="D32" i="2"/>
  <c r="R32" i="3"/>
  <c r="I32" i="3"/>
  <c r="N32" i="3"/>
  <c r="H32" i="3"/>
  <c r="G32" i="3"/>
  <c r="B32" i="3"/>
  <c r="R32" i="4"/>
  <c r="O32" i="4"/>
  <c r="H32" i="4"/>
  <c r="F32" i="4"/>
  <c r="D32" i="4"/>
  <c r="R63" i="1"/>
  <c r="Q63" i="1"/>
  <c r="Q59" i="1"/>
  <c r="O10" i="1"/>
  <c r="N10" i="1"/>
  <c r="D10" i="1"/>
  <c r="C10" i="1"/>
  <c r="B10" i="1"/>
  <c r="R60" i="1"/>
  <c r="R49" i="1"/>
  <c r="R61" i="1"/>
  <c r="R59" i="1"/>
  <c r="Q52" i="2"/>
  <c r="R52" i="3"/>
  <c r="B18" i="1"/>
  <c r="I16" i="1"/>
  <c r="F16" i="1"/>
  <c r="D18" i="1"/>
  <c r="P18" i="1"/>
  <c r="F18" i="1"/>
  <c r="I18" i="1"/>
  <c r="H18" i="1"/>
  <c r="E18" i="1"/>
  <c r="G18" i="1"/>
  <c r="N18" i="1"/>
  <c r="O18" i="1"/>
  <c r="J18" i="1"/>
  <c r="D16" i="1"/>
  <c r="E16" i="1"/>
  <c r="G16" i="1"/>
  <c r="B16" i="1"/>
  <c r="H16" i="1"/>
  <c r="O16" i="1"/>
  <c r="O15" i="1"/>
  <c r="N16" i="1"/>
  <c r="N15" i="1"/>
  <c r="J16" i="1"/>
  <c r="C17" i="1"/>
  <c r="B17" i="1"/>
  <c r="D17" i="1"/>
  <c r="E17" i="1"/>
  <c r="F17" i="1"/>
  <c r="G17" i="1"/>
  <c r="H17" i="1"/>
  <c r="N17" i="1"/>
  <c r="I17" i="1"/>
  <c r="O17" i="1"/>
  <c r="J17" i="1"/>
  <c r="B13" i="1"/>
  <c r="P13" i="1"/>
  <c r="O13" i="1"/>
  <c r="D13" i="1"/>
  <c r="C13" i="1"/>
  <c r="N13" i="1"/>
  <c r="D12" i="1"/>
  <c r="N12" i="1"/>
  <c r="C11" i="1"/>
  <c r="B11" i="1"/>
  <c r="D11" i="1"/>
  <c r="N11" i="1"/>
  <c r="O11" i="1"/>
  <c r="P11" i="1"/>
  <c r="C9" i="1"/>
  <c r="D9" i="1"/>
  <c r="P9" i="1"/>
  <c r="N9" i="1"/>
  <c r="O9" i="1"/>
  <c r="D21" i="1"/>
  <c r="E21" i="1"/>
  <c r="F21" i="1"/>
  <c r="B21" i="1"/>
  <c r="H21" i="1"/>
  <c r="N21" i="1"/>
  <c r="I21" i="1"/>
  <c r="P21" i="1"/>
  <c r="J21" i="1"/>
  <c r="C22" i="1"/>
  <c r="G22" i="1"/>
  <c r="D22" i="1"/>
  <c r="E22" i="1"/>
  <c r="H22" i="1"/>
  <c r="I22" i="1"/>
  <c r="N22" i="1"/>
  <c r="O22" i="1"/>
  <c r="P22" i="1"/>
  <c r="J22" i="1"/>
  <c r="D23" i="1"/>
  <c r="E23" i="1"/>
  <c r="P23" i="1"/>
  <c r="F23" i="1"/>
  <c r="G23" i="1"/>
  <c r="H23" i="1"/>
  <c r="O23" i="1"/>
  <c r="N23" i="1"/>
  <c r="J23" i="1"/>
  <c r="I23" i="1"/>
  <c r="E26" i="1"/>
  <c r="B26" i="1"/>
  <c r="H26" i="1"/>
  <c r="O26" i="1"/>
  <c r="N26" i="1"/>
  <c r="P26" i="1"/>
  <c r="F26" i="1"/>
  <c r="J26" i="1"/>
  <c r="E27" i="1"/>
  <c r="B27" i="1"/>
  <c r="C27" i="1"/>
  <c r="D27" i="1"/>
  <c r="F27" i="1"/>
  <c r="G27" i="1"/>
  <c r="H27" i="1"/>
  <c r="N27" i="1"/>
  <c r="I27" i="1"/>
  <c r="O27" i="1"/>
  <c r="P27" i="1"/>
  <c r="J27" i="1"/>
  <c r="D28" i="1"/>
  <c r="P28" i="1"/>
  <c r="F28" i="1"/>
  <c r="B28" i="1"/>
  <c r="H28" i="1"/>
  <c r="O28" i="1"/>
  <c r="C28" i="1"/>
  <c r="G28" i="1"/>
  <c r="N28" i="1"/>
  <c r="J28" i="1"/>
  <c r="I28" i="1"/>
  <c r="E28" i="1"/>
  <c r="B30" i="1"/>
  <c r="D30" i="1"/>
  <c r="E30" i="1"/>
  <c r="F30" i="1"/>
  <c r="G30" i="1"/>
  <c r="H30" i="1"/>
  <c r="N30" i="1"/>
  <c r="I30" i="1"/>
  <c r="O30" i="1"/>
  <c r="P30" i="1"/>
  <c r="J30" i="1"/>
  <c r="R8" i="3"/>
  <c r="R15" i="3"/>
  <c r="R34" i="3"/>
  <c r="R20" i="3"/>
  <c r="R25" i="3"/>
  <c r="Q8" i="2"/>
  <c r="Q15" i="2"/>
  <c r="Q20" i="2"/>
  <c r="Q25" i="2"/>
  <c r="R25" i="4"/>
  <c r="R20" i="4"/>
  <c r="R34" i="4"/>
  <c r="R15" i="4"/>
  <c r="R25" i="1"/>
  <c r="R20" i="1"/>
  <c r="R15" i="1"/>
  <c r="M25" i="2"/>
  <c r="J25" i="4"/>
  <c r="P25" i="4"/>
  <c r="O25" i="4"/>
  <c r="N25" i="4"/>
  <c r="H25" i="4"/>
  <c r="F25" i="4"/>
  <c r="E25" i="4"/>
  <c r="D25" i="4"/>
  <c r="B25" i="4"/>
  <c r="I8" i="4"/>
  <c r="I34" i="4"/>
  <c r="I20" i="4"/>
  <c r="I15" i="4"/>
  <c r="B15" i="4"/>
  <c r="D20" i="4"/>
  <c r="D15" i="4"/>
  <c r="E20" i="4"/>
  <c r="E15" i="4"/>
  <c r="E8" i="4"/>
  <c r="F20" i="4"/>
  <c r="F15" i="4"/>
  <c r="F8" i="4"/>
  <c r="G15" i="4"/>
  <c r="H20" i="4"/>
  <c r="H15" i="4"/>
  <c r="N20" i="4"/>
  <c r="N15" i="4"/>
  <c r="N8" i="4"/>
  <c r="O20" i="4"/>
  <c r="O15" i="4"/>
  <c r="P15" i="4"/>
  <c r="J20" i="4"/>
  <c r="J15" i="4"/>
  <c r="J8" i="4"/>
  <c r="J34" i="4"/>
  <c r="C25" i="3"/>
  <c r="E25" i="3"/>
  <c r="F25" i="3"/>
  <c r="G25" i="3"/>
  <c r="H25" i="3"/>
  <c r="N25" i="3"/>
  <c r="I25" i="3"/>
  <c r="O25" i="3"/>
  <c r="P25" i="3"/>
  <c r="J25" i="3"/>
  <c r="C25" i="2"/>
  <c r="D25" i="2"/>
  <c r="E25" i="2"/>
  <c r="F25" i="2"/>
  <c r="G25" i="2"/>
  <c r="H25" i="2"/>
  <c r="I25" i="2"/>
  <c r="N25" i="2"/>
  <c r="O25" i="2"/>
  <c r="J25" i="2"/>
  <c r="B25" i="3"/>
  <c r="B25" i="2"/>
  <c r="N15" i="3"/>
  <c r="G15" i="2"/>
  <c r="H15" i="2"/>
  <c r="I15" i="2"/>
  <c r="B15" i="2"/>
  <c r="E15" i="2"/>
  <c r="D15" i="2"/>
  <c r="F15" i="2"/>
  <c r="M15" i="2"/>
  <c r="N15" i="2"/>
  <c r="O15" i="2"/>
  <c r="J15" i="2"/>
  <c r="D15" i="3"/>
  <c r="D20" i="3"/>
  <c r="B8" i="3"/>
  <c r="B15" i="3"/>
  <c r="B20" i="3"/>
  <c r="C15" i="3"/>
  <c r="E8" i="3"/>
  <c r="E15" i="3"/>
  <c r="E20" i="3"/>
  <c r="F15" i="3"/>
  <c r="G15" i="3"/>
  <c r="G20" i="3"/>
  <c r="H8" i="3"/>
  <c r="H20" i="3"/>
  <c r="N8" i="3"/>
  <c r="N20" i="3"/>
  <c r="I8" i="3"/>
  <c r="I15" i="3"/>
  <c r="I20" i="3"/>
  <c r="O15" i="3"/>
  <c r="P8" i="3"/>
  <c r="P15" i="3"/>
  <c r="P20" i="3"/>
  <c r="J8" i="3"/>
  <c r="J15" i="3"/>
  <c r="J20" i="3"/>
  <c r="T15" i="3"/>
  <c r="H8" i="2"/>
  <c r="I8" i="2"/>
  <c r="E8" i="2"/>
  <c r="D8" i="2"/>
  <c r="F8" i="2"/>
  <c r="M8" i="2"/>
  <c r="O8" i="2"/>
  <c r="O34" i="2"/>
  <c r="J8" i="2"/>
  <c r="J34" i="2"/>
  <c r="B8" i="2"/>
  <c r="B20" i="2"/>
  <c r="C20" i="2"/>
  <c r="D20" i="2"/>
  <c r="E20" i="2"/>
  <c r="F20" i="2"/>
  <c r="G20" i="2"/>
  <c r="H20" i="2"/>
  <c r="M20" i="2"/>
  <c r="I20" i="2"/>
  <c r="I34" i="2"/>
  <c r="N20" i="2"/>
  <c r="O20" i="2"/>
  <c r="J20" i="2"/>
  <c r="R52" i="4"/>
  <c r="R50" i="1"/>
  <c r="R52" i="1"/>
  <c r="B22" i="1"/>
  <c r="C20" i="4"/>
  <c r="C30" i="1"/>
  <c r="D26" i="1"/>
  <c r="D25" i="3"/>
  <c r="B20" i="4"/>
  <c r="B32" i="4"/>
  <c r="B23" i="1"/>
  <c r="B20" i="1"/>
  <c r="G20" i="4"/>
  <c r="C15" i="4"/>
  <c r="C32" i="4"/>
  <c r="I32" i="4"/>
  <c r="P16" i="1"/>
  <c r="P15" i="1"/>
  <c r="C25" i="4"/>
  <c r="G25" i="4"/>
  <c r="B9" i="1"/>
  <c r="G32" i="4"/>
  <c r="I26" i="1"/>
  <c r="P32" i="3"/>
  <c r="O32" i="3"/>
  <c r="O21" i="1"/>
  <c r="O20" i="1"/>
  <c r="C32" i="2"/>
  <c r="C18" i="1"/>
  <c r="M8" i="1"/>
  <c r="M32" i="4"/>
  <c r="M34" i="4"/>
  <c r="M34" i="3"/>
  <c r="L20" i="2"/>
  <c r="L8" i="2"/>
  <c r="N34" i="4"/>
  <c r="B8" i="4"/>
  <c r="B34" i="4"/>
  <c r="D8" i="4"/>
  <c r="G8" i="4"/>
  <c r="K8" i="4"/>
  <c r="C23" i="1"/>
  <c r="C8" i="4"/>
  <c r="H8" i="4"/>
  <c r="O12" i="1"/>
  <c r="C12" i="1"/>
  <c r="N25" i="1"/>
  <c r="C8" i="3"/>
  <c r="B12" i="1"/>
  <c r="R34" i="1"/>
  <c r="Q34" i="2"/>
  <c r="G8" i="2"/>
  <c r="N8" i="2"/>
  <c r="L34" i="2"/>
  <c r="C21" i="1"/>
  <c r="F20" i="3"/>
  <c r="Q22" i="3"/>
  <c r="F22" i="1"/>
  <c r="C32" i="3"/>
  <c r="C20" i="3"/>
  <c r="P28" i="2"/>
  <c r="L25" i="3"/>
  <c r="Q18" i="4"/>
  <c r="Q27" i="4"/>
  <c r="L11" i="1"/>
  <c r="Q11" i="1"/>
  <c r="Q26" i="4"/>
  <c r="Q57" i="2"/>
  <c r="P57" i="2"/>
  <c r="R57" i="3"/>
  <c r="P34" i="3"/>
  <c r="H34" i="3"/>
  <c r="O34" i="4"/>
  <c r="B8" i="1"/>
  <c r="F34" i="4"/>
  <c r="L10" i="1"/>
  <c r="Q10" i="1"/>
  <c r="Q58" i="3"/>
  <c r="Q58" i="1"/>
  <c r="H34" i="2"/>
  <c r="K8" i="2"/>
  <c r="F8" i="3"/>
  <c r="F34" i="3"/>
  <c r="L8" i="3"/>
  <c r="H34" i="4"/>
  <c r="E25" i="1"/>
  <c r="E34" i="4"/>
  <c r="D34" i="4"/>
  <c r="L15" i="4"/>
  <c r="C34" i="4"/>
  <c r="G34" i="3"/>
  <c r="P25" i="1"/>
  <c r="P20" i="1"/>
  <c r="D20" i="1"/>
  <c r="L23" i="1"/>
  <c r="Q23" i="1"/>
  <c r="C37" i="3"/>
  <c r="C34" i="3"/>
  <c r="L20" i="3"/>
  <c r="L34" i="3"/>
  <c r="L21" i="1"/>
  <c r="Q21" i="1"/>
  <c r="G34" i="2"/>
  <c r="F15" i="1"/>
  <c r="F34" i="2"/>
  <c r="L26" i="1"/>
  <c r="Q26" i="1"/>
  <c r="D34" i="2"/>
  <c r="K25" i="2"/>
  <c r="K20" i="2"/>
  <c r="R58" i="1"/>
  <c r="I25" i="1"/>
  <c r="J20" i="1"/>
  <c r="K8" i="1"/>
  <c r="G8" i="1"/>
  <c r="J8" i="1"/>
  <c r="F8" i="1"/>
  <c r="I8" i="1"/>
  <c r="E8" i="1"/>
  <c r="O8" i="1"/>
  <c r="M32" i="1"/>
  <c r="H20" i="1"/>
  <c r="K15" i="1"/>
  <c r="C20" i="1"/>
  <c r="O25" i="1"/>
  <c r="N8" i="1"/>
  <c r="G15" i="1"/>
  <c r="N34" i="2"/>
  <c r="M34" i="2"/>
  <c r="N20" i="1"/>
  <c r="N34" i="1"/>
  <c r="C34" i="2"/>
  <c r="E34" i="2"/>
  <c r="L30" i="1"/>
  <c r="Q30" i="1"/>
  <c r="L28" i="1"/>
  <c r="Q28" i="1"/>
  <c r="D25" i="1"/>
  <c r="P20" i="2"/>
  <c r="B34" i="2"/>
  <c r="E20" i="1"/>
  <c r="P50" i="2"/>
  <c r="I20" i="1"/>
  <c r="F20" i="1"/>
  <c r="P56" i="2"/>
  <c r="Q56" i="2"/>
  <c r="P15" i="2"/>
  <c r="J15" i="1"/>
  <c r="C15" i="1"/>
  <c r="K15" i="2"/>
  <c r="B15" i="1"/>
  <c r="E15" i="1"/>
  <c r="L16" i="1"/>
  <c r="Q16" i="1"/>
  <c r="D15" i="1"/>
  <c r="P8" i="2"/>
  <c r="P49" i="2"/>
  <c r="P54" i="2"/>
  <c r="Q54" i="2"/>
  <c r="D8" i="1"/>
  <c r="L12" i="1"/>
  <c r="Q12" i="1"/>
  <c r="R54" i="1"/>
  <c r="O34" i="3"/>
  <c r="N32" i="1"/>
  <c r="N34" i="3"/>
  <c r="O32" i="1"/>
  <c r="F25" i="1"/>
  <c r="C25" i="1"/>
  <c r="G25" i="1"/>
  <c r="J25" i="1"/>
  <c r="B25" i="1"/>
  <c r="H25" i="1"/>
  <c r="Q26" i="3"/>
  <c r="Q25" i="3"/>
  <c r="L37" i="3"/>
  <c r="Q21" i="3"/>
  <c r="Q20" i="3"/>
  <c r="D34" i="3"/>
  <c r="G20" i="1"/>
  <c r="B34" i="3"/>
  <c r="Q15" i="3"/>
  <c r="Q56" i="3"/>
  <c r="R56" i="3"/>
  <c r="L15" i="3"/>
  <c r="E32" i="1"/>
  <c r="I34" i="3"/>
  <c r="E34" i="3"/>
  <c r="G32" i="1"/>
  <c r="L17" i="1"/>
  <c r="Q17" i="1"/>
  <c r="Q15" i="1"/>
  <c r="D32" i="1"/>
  <c r="J34" i="3"/>
  <c r="I15" i="1"/>
  <c r="H15" i="1"/>
  <c r="I32" i="1"/>
  <c r="C32" i="1"/>
  <c r="H8" i="1"/>
  <c r="Q8" i="3"/>
  <c r="Q54" i="3"/>
  <c r="C8" i="1"/>
  <c r="P34" i="4"/>
  <c r="Q25" i="4"/>
  <c r="P32" i="1"/>
  <c r="P8" i="1"/>
  <c r="G34" i="4"/>
  <c r="L25" i="4"/>
  <c r="B32" i="1"/>
  <c r="L18" i="1"/>
  <c r="L32" i="4"/>
  <c r="R57" i="4"/>
  <c r="Q57" i="4"/>
  <c r="R54" i="4"/>
  <c r="Q54" i="4"/>
  <c r="L8" i="4"/>
  <c r="L9" i="1"/>
  <c r="L13" i="1"/>
  <c r="Q13" i="1"/>
  <c r="R57" i="1"/>
  <c r="Q56" i="4"/>
  <c r="R56" i="4"/>
  <c r="K20" i="1"/>
  <c r="K34" i="1"/>
  <c r="L22" i="1"/>
  <c r="Q22" i="1"/>
  <c r="H32" i="1"/>
  <c r="L20" i="4"/>
  <c r="L37" i="4"/>
  <c r="K34" i="4"/>
  <c r="F32" i="1"/>
  <c r="Q8" i="4"/>
  <c r="Q49" i="4"/>
  <c r="R62" i="3"/>
  <c r="G34" i="1"/>
  <c r="E34" i="1"/>
  <c r="O34" i="1"/>
  <c r="P34" i="1"/>
  <c r="K34" i="2"/>
  <c r="C34" i="1"/>
  <c r="H34" i="1"/>
  <c r="F34" i="1"/>
  <c r="I34" i="1"/>
  <c r="J34" i="1"/>
  <c r="B34" i="1"/>
  <c r="P32" i="2"/>
  <c r="Q63" i="2"/>
  <c r="P52" i="2"/>
  <c r="P63" i="2"/>
  <c r="D34" i="1"/>
  <c r="P34" i="2"/>
  <c r="Q57" i="1"/>
  <c r="Q34" i="3"/>
  <c r="Q54" i="1"/>
  <c r="Q32" i="3"/>
  <c r="Q50" i="3"/>
  <c r="Q52" i="3"/>
  <c r="Q62" i="3"/>
  <c r="R63" i="3"/>
  <c r="Q18" i="1"/>
  <c r="L15" i="1"/>
  <c r="Q9" i="1"/>
  <c r="Q8" i="1"/>
  <c r="L8" i="1"/>
  <c r="R64" i="4"/>
  <c r="Q49" i="1"/>
  <c r="Q64" i="2"/>
  <c r="P64" i="2"/>
  <c r="R56" i="1"/>
  <c r="R65" i="1"/>
  <c r="Q56" i="1"/>
  <c r="Q27" i="1"/>
  <c r="Q25" i="1"/>
  <c r="L25" i="1"/>
  <c r="L32" i="1"/>
  <c r="L34" i="4"/>
  <c r="Q63" i="3"/>
  <c r="L20" i="1"/>
  <c r="L34" i="1"/>
  <c r="Q32" i="4"/>
  <c r="Q20" i="4"/>
  <c r="Q34" i="4"/>
  <c r="Q50" i="4"/>
  <c r="Q20" i="1"/>
  <c r="B10" i="5"/>
  <c r="M10" i="5"/>
  <c r="F10" i="5"/>
  <c r="K10" i="5"/>
  <c r="G10" i="5"/>
  <c r="C10" i="5"/>
  <c r="I10" i="5"/>
  <c r="E10" i="5"/>
  <c r="J10" i="5"/>
  <c r="L10" i="5"/>
  <c r="H10" i="5"/>
  <c r="D10" i="5"/>
  <c r="N8" i="5"/>
  <c r="N9" i="5"/>
  <c r="N7" i="5"/>
  <c r="J24" i="6"/>
  <c r="J19" i="6"/>
  <c r="I71" i="6"/>
  <c r="K71" i="6"/>
  <c r="J71" i="6"/>
  <c r="J120" i="6"/>
  <c r="L60" i="5"/>
  <c r="L62" i="5"/>
  <c r="Q32" i="1"/>
  <c r="Q34" i="1"/>
  <c r="Q52" i="4"/>
  <c r="Q64" i="4"/>
  <c r="R65" i="4"/>
  <c r="Q50" i="1"/>
  <c r="Q52" i="1"/>
  <c r="Q65" i="1"/>
  <c r="R67" i="1"/>
  <c r="Q65" i="4"/>
  <c r="J60" i="5"/>
  <c r="J62" i="5"/>
  <c r="B60" i="5"/>
  <c r="E60" i="5"/>
  <c r="E62" i="5"/>
  <c r="H60" i="5"/>
  <c r="H62" i="5"/>
  <c r="K60" i="5"/>
  <c r="K62" i="5"/>
  <c r="N10" i="5"/>
  <c r="I60" i="5"/>
  <c r="I62" i="5"/>
  <c r="G60" i="5"/>
  <c r="G62" i="5"/>
  <c r="C60" i="5"/>
  <c r="C62" i="5"/>
  <c r="M60" i="5"/>
  <c r="M62" i="5"/>
  <c r="D60" i="5"/>
  <c r="D62" i="5"/>
  <c r="F60" i="5"/>
  <c r="F62" i="5"/>
  <c r="N49" i="5"/>
  <c r="N36" i="5"/>
  <c r="B62" i="5"/>
  <c r="I233" i="6"/>
  <c r="Q67" i="1"/>
  <c r="N23" i="5"/>
  <c r="O60" i="5"/>
  <c r="O62" i="5"/>
</calcChain>
</file>

<file path=xl/sharedStrings.xml><?xml version="1.0" encoding="utf-8"?>
<sst xmlns="http://schemas.openxmlformats.org/spreadsheetml/2006/main" count="1070" uniqueCount="347">
  <si>
    <t>Sponsored Program Fund Sources and Expenditures by Agency  (Based on Accrual)</t>
  </si>
  <si>
    <t>Human</t>
  </si>
  <si>
    <t>General</t>
  </si>
  <si>
    <t>Arts &amp;</t>
  </si>
  <si>
    <t>Environ.</t>
  </si>
  <si>
    <t>Veterinary</t>
  </si>
  <si>
    <t>Oklahoma</t>
  </si>
  <si>
    <t>Total</t>
  </si>
  <si>
    <t>University</t>
  </si>
  <si>
    <t>Agriculture</t>
  </si>
  <si>
    <t>Sciences</t>
  </si>
  <si>
    <t>Business</t>
  </si>
  <si>
    <t>Education</t>
  </si>
  <si>
    <t>Engineering</t>
  </si>
  <si>
    <t>Okmulgee</t>
  </si>
  <si>
    <t>Medicine</t>
  </si>
  <si>
    <t>City</t>
  </si>
  <si>
    <t>State</t>
  </si>
  <si>
    <t>(General Support)</t>
  </si>
  <si>
    <t>Ledger 1</t>
  </si>
  <si>
    <t>Direct Cost C/S</t>
  </si>
  <si>
    <t>Station Sales</t>
  </si>
  <si>
    <t>Restricted Fund-OSU</t>
  </si>
  <si>
    <t>Federal Sponsors</t>
  </si>
  <si>
    <t>State Sponsors</t>
  </si>
  <si>
    <t>Private Sponsors</t>
  </si>
  <si>
    <t>Tulsa</t>
  </si>
  <si>
    <t>Fed Appropriations</t>
  </si>
  <si>
    <t>Extension Fund Sources and Expenditures by Agency  (Based on Accrual)</t>
  </si>
  <si>
    <t>Center</t>
  </si>
  <si>
    <t>for Health</t>
  </si>
  <si>
    <t>Station Sale</t>
  </si>
  <si>
    <t>Instruction Fund Sources and Expenditures by Agency  (Based on Accrual)</t>
  </si>
  <si>
    <t>Research Fund Sources and Expenditures by Agency  (Based on Accrual)</t>
  </si>
  <si>
    <t xml:space="preserve"> </t>
  </si>
  <si>
    <t>Voluntary Waived F&amp;A</t>
  </si>
  <si>
    <t>Mandatory Waived F&amp;A</t>
  </si>
  <si>
    <t>Unfunded F&amp;A on C/S</t>
  </si>
  <si>
    <t>Recovered F&amp;A Restricted</t>
  </si>
  <si>
    <t>Part 1 A</t>
  </si>
  <si>
    <t>Part 1 B</t>
  </si>
  <si>
    <t>Part 1 B Continued</t>
  </si>
  <si>
    <t>Page 1</t>
  </si>
  <si>
    <t>Page 2</t>
  </si>
  <si>
    <t>Page 3</t>
  </si>
  <si>
    <t>Page 4</t>
  </si>
  <si>
    <t>Restricted Fund-CIED</t>
  </si>
  <si>
    <t>Restricted-CIED</t>
  </si>
  <si>
    <t xml:space="preserve">Total  </t>
  </si>
  <si>
    <t xml:space="preserve">Reconciliation </t>
  </si>
  <si>
    <t>Research</t>
  </si>
  <si>
    <t>Financial</t>
  </si>
  <si>
    <t>Report</t>
  </si>
  <si>
    <t>Statements</t>
  </si>
  <si>
    <t>Unrestricted</t>
  </si>
  <si>
    <t>Restricted</t>
  </si>
  <si>
    <t>Total per Financial Statements</t>
  </si>
  <si>
    <t>Direct C/S - Instruction</t>
  </si>
  <si>
    <t>EREDF Academic Support</t>
  </si>
  <si>
    <t>Debt Service (SC 9600)</t>
  </si>
  <si>
    <t>Working Fund Adjustment</t>
  </si>
  <si>
    <t>Total per Report</t>
  </si>
  <si>
    <t>Reconciliation</t>
  </si>
  <si>
    <t>Unrestricted Research</t>
  </si>
  <si>
    <t>Restricted Research</t>
  </si>
  <si>
    <t>Sub-total</t>
  </si>
  <si>
    <t>EREDF Academic Spt - NASA Rpt</t>
  </si>
  <si>
    <t>Restricted Instruction</t>
  </si>
  <si>
    <t>Direct C/S</t>
  </si>
  <si>
    <t>Unrestricted Extension</t>
  </si>
  <si>
    <t>Restricted Extension</t>
  </si>
  <si>
    <t>Miscellaneous Adjustment</t>
  </si>
  <si>
    <t>Effective F&amp;A Rate</t>
  </si>
  <si>
    <t>Debt Service (SC 9600/9620)</t>
  </si>
  <si>
    <t>AB45 Accts on C/S - not Ldgr 1 List</t>
  </si>
  <si>
    <t>FY 2015</t>
  </si>
  <si>
    <t>GASB Adjustment - See Notes</t>
  </si>
  <si>
    <t>FY 2016</t>
  </si>
  <si>
    <t>OSURF</t>
  </si>
  <si>
    <t>Waived F&amp;A</t>
  </si>
  <si>
    <t>Subtotal</t>
  </si>
  <si>
    <t>OSU - STW</t>
  </si>
  <si>
    <t>2016 Research Report Oklahoma State University</t>
  </si>
  <si>
    <t>Page 5</t>
  </si>
  <si>
    <t>Part 2 A</t>
  </si>
  <si>
    <t>FY2015</t>
  </si>
  <si>
    <t>Plant Funds</t>
  </si>
  <si>
    <t>OSU Foundation</t>
  </si>
  <si>
    <t>In-kind Contributions</t>
  </si>
  <si>
    <t>Page 6</t>
  </si>
  <si>
    <t>Research Fund Sources and Expenditures by Agency (Based on Accrual)</t>
  </si>
  <si>
    <t>Part 2 B</t>
  </si>
  <si>
    <t>Page 7</t>
  </si>
  <si>
    <t>Part 2 B Continued</t>
  </si>
  <si>
    <t>Page 8</t>
  </si>
  <si>
    <t>Page 9</t>
  </si>
  <si>
    <t>Summary</t>
  </si>
  <si>
    <t>Part 1</t>
  </si>
  <si>
    <t>Part 2 *</t>
  </si>
  <si>
    <t>FY2016</t>
  </si>
  <si>
    <t>2015 Research Report Oklahoma State University - For Comparison</t>
  </si>
  <si>
    <t>COA</t>
  </si>
  <si>
    <t>FUND</t>
  </si>
  <si>
    <t>1</t>
  </si>
  <si>
    <t>700060</t>
  </si>
  <si>
    <t>700070</t>
  </si>
  <si>
    <t>700090</t>
  </si>
  <si>
    <t>700150</t>
  </si>
  <si>
    <t>700180</t>
  </si>
  <si>
    <t>700190</t>
  </si>
  <si>
    <t>700240</t>
  </si>
  <si>
    <t>700360</t>
  </si>
  <si>
    <t>700540</t>
  </si>
  <si>
    <t>700580</t>
  </si>
  <si>
    <t>700820</t>
  </si>
  <si>
    <t>700860</t>
  </si>
  <si>
    <t>710004</t>
  </si>
  <si>
    <t>710005</t>
  </si>
  <si>
    <t>710012</t>
  </si>
  <si>
    <t>710013</t>
  </si>
  <si>
    <t>710014</t>
  </si>
  <si>
    <t>710022</t>
  </si>
  <si>
    <t>710023</t>
  </si>
  <si>
    <t>710024</t>
  </si>
  <si>
    <t>710028</t>
  </si>
  <si>
    <t>710029</t>
  </si>
  <si>
    <t>710032</t>
  </si>
  <si>
    <t>710037</t>
  </si>
  <si>
    <t>710040</t>
  </si>
  <si>
    <t>710047</t>
  </si>
  <si>
    <t>710048</t>
  </si>
  <si>
    <t>710060</t>
  </si>
  <si>
    <t>710068</t>
  </si>
  <si>
    <t>710070</t>
  </si>
  <si>
    <t>710081</t>
  </si>
  <si>
    <t>710240</t>
  </si>
  <si>
    <t>711420</t>
  </si>
  <si>
    <t>711460</t>
  </si>
  <si>
    <t>711560</t>
  </si>
  <si>
    <t>711580</t>
  </si>
  <si>
    <t>711590</t>
  </si>
  <si>
    <t>711770</t>
  </si>
  <si>
    <t>711940</t>
  </si>
  <si>
    <t>711950</t>
  </si>
  <si>
    <t>711960</t>
  </si>
  <si>
    <t>712390</t>
  </si>
  <si>
    <t>713270</t>
  </si>
  <si>
    <t>713310</t>
  </si>
  <si>
    <t>713330</t>
  </si>
  <si>
    <t>713460</t>
  </si>
  <si>
    <t>713860</t>
  </si>
  <si>
    <t>713920</t>
  </si>
  <si>
    <t>714420</t>
  </si>
  <si>
    <t>714580</t>
  </si>
  <si>
    <t>714730</t>
  </si>
  <si>
    <t>714880</t>
  </si>
  <si>
    <t>714960</t>
  </si>
  <si>
    <t>715050</t>
  </si>
  <si>
    <t>715120</t>
  </si>
  <si>
    <t>715440</t>
  </si>
  <si>
    <t>715460</t>
  </si>
  <si>
    <t>715610</t>
  </si>
  <si>
    <t>715830</t>
  </si>
  <si>
    <t>715840</t>
  </si>
  <si>
    <t>715900</t>
  </si>
  <si>
    <t>715920</t>
  </si>
  <si>
    <t>715960</t>
  </si>
  <si>
    <t>715970</t>
  </si>
  <si>
    <t>715980</t>
  </si>
  <si>
    <t>715990</t>
  </si>
  <si>
    <t>716700</t>
  </si>
  <si>
    <t>717050</t>
  </si>
  <si>
    <t>717200</t>
  </si>
  <si>
    <t>718160</t>
  </si>
  <si>
    <t>718300</t>
  </si>
  <si>
    <t>718840</t>
  </si>
  <si>
    <t>719250</t>
  </si>
  <si>
    <t>720079</t>
  </si>
  <si>
    <t>721110</t>
  </si>
  <si>
    <t>721480</t>
  </si>
  <si>
    <t>721530</t>
  </si>
  <si>
    <t>721590</t>
  </si>
  <si>
    <t>722980</t>
  </si>
  <si>
    <t>723460</t>
  </si>
  <si>
    <t>723920</t>
  </si>
  <si>
    <t>723970</t>
  </si>
  <si>
    <t>724750</t>
  </si>
  <si>
    <t>724840</t>
  </si>
  <si>
    <t>724860</t>
  </si>
  <si>
    <t>724910</t>
  </si>
  <si>
    <t>725070</t>
  </si>
  <si>
    <t>725420</t>
  </si>
  <si>
    <t>725560</t>
  </si>
  <si>
    <t>725570</t>
  </si>
  <si>
    <t>729500</t>
  </si>
  <si>
    <t>731530</t>
  </si>
  <si>
    <t>733330</t>
  </si>
  <si>
    <t>733650</t>
  </si>
  <si>
    <t>733920</t>
  </si>
  <si>
    <t>741110</t>
  </si>
  <si>
    <t>741590</t>
  </si>
  <si>
    <t>743460</t>
  </si>
  <si>
    <t>745050</t>
  </si>
  <si>
    <t>745960</t>
  </si>
  <si>
    <t>745990</t>
  </si>
  <si>
    <t>749500</t>
  </si>
  <si>
    <t>752640</t>
  </si>
  <si>
    <t>754580</t>
  </si>
  <si>
    <t>755460</t>
  </si>
  <si>
    <t>758300</t>
  </si>
  <si>
    <t>760017</t>
  </si>
  <si>
    <t>760018</t>
  </si>
  <si>
    <t>760019</t>
  </si>
  <si>
    <t>760033</t>
  </si>
  <si>
    <t>760036</t>
  </si>
  <si>
    <t>760200</t>
  </si>
  <si>
    <t>761330</t>
  </si>
  <si>
    <t>761340</t>
  </si>
  <si>
    <t>761380</t>
  </si>
  <si>
    <t>761440</t>
  </si>
  <si>
    <t>761480</t>
  </si>
  <si>
    <t>761520</t>
  </si>
  <si>
    <t>762040</t>
  </si>
  <si>
    <t>762300</t>
  </si>
  <si>
    <t>763310</t>
  </si>
  <si>
    <t>763890</t>
  </si>
  <si>
    <t>763900</t>
  </si>
  <si>
    <t>764960</t>
  </si>
  <si>
    <t>765670</t>
  </si>
  <si>
    <t>765680</t>
  </si>
  <si>
    <t>765720</t>
  </si>
  <si>
    <t>765730</t>
  </si>
  <si>
    <t>765740</t>
  </si>
  <si>
    <t>765780</t>
  </si>
  <si>
    <t>768300</t>
  </si>
  <si>
    <t>772020</t>
  </si>
  <si>
    <t>772570</t>
  </si>
  <si>
    <t>773460</t>
  </si>
  <si>
    <t>773920</t>
  </si>
  <si>
    <t>774400</t>
  </si>
  <si>
    <t>2</t>
  </si>
  <si>
    <t>700270</t>
  </si>
  <si>
    <t>700370</t>
  </si>
  <si>
    <t>700470</t>
  </si>
  <si>
    <t>710026</t>
  </si>
  <si>
    <t>710062</t>
  </si>
  <si>
    <t>713360</t>
  </si>
  <si>
    <t>713850</t>
  </si>
  <si>
    <t>714450</t>
  </si>
  <si>
    <t>714500</t>
  </si>
  <si>
    <t>714600</t>
  </si>
  <si>
    <t>714800</t>
  </si>
  <si>
    <t>715180</t>
  </si>
  <si>
    <t>715390</t>
  </si>
  <si>
    <t>715400</t>
  </si>
  <si>
    <t>715470</t>
  </si>
  <si>
    <t>715480</t>
  </si>
  <si>
    <t>715940</t>
  </si>
  <si>
    <t>3</t>
  </si>
  <si>
    <t>725520</t>
  </si>
  <si>
    <t>4</t>
  </si>
  <si>
    <t>700680</t>
  </si>
  <si>
    <t>700800</t>
  </si>
  <si>
    <t>711400</t>
  </si>
  <si>
    <t>712790</t>
  </si>
  <si>
    <t>712860</t>
  </si>
  <si>
    <t>712870</t>
  </si>
  <si>
    <t>713180</t>
  </si>
  <si>
    <t>714480</t>
  </si>
  <si>
    <t>714490</t>
  </si>
  <si>
    <t>714550</t>
  </si>
  <si>
    <t>715150</t>
  </si>
  <si>
    <t>715160</t>
  </si>
  <si>
    <t>715170</t>
  </si>
  <si>
    <t>715500</t>
  </si>
  <si>
    <t>715710</t>
  </si>
  <si>
    <t>715850</t>
  </si>
  <si>
    <t>720055</t>
  </si>
  <si>
    <t>724480</t>
  </si>
  <si>
    <t>5</t>
  </si>
  <si>
    <t>710064</t>
  </si>
  <si>
    <t>714660</t>
  </si>
  <si>
    <t>714700</t>
  </si>
  <si>
    <t>714710</t>
  </si>
  <si>
    <t>716500</t>
  </si>
  <si>
    <t>736500</t>
  </si>
  <si>
    <t>6</t>
  </si>
  <si>
    <t>710042</t>
  </si>
  <si>
    <t>710045</t>
  </si>
  <si>
    <t>710046</t>
  </si>
  <si>
    <t>710083</t>
  </si>
  <si>
    <t>715130</t>
  </si>
  <si>
    <t>715780</t>
  </si>
  <si>
    <t>715810</t>
  </si>
  <si>
    <t>723080</t>
  </si>
  <si>
    <t>723980</t>
  </si>
  <si>
    <t>724520</t>
  </si>
  <si>
    <t>725130</t>
  </si>
  <si>
    <t>725760</t>
  </si>
  <si>
    <t>725770</t>
  </si>
  <si>
    <t>725780</t>
  </si>
  <si>
    <t>725860</t>
  </si>
  <si>
    <t>745130</t>
  </si>
  <si>
    <t>771164</t>
  </si>
  <si>
    <t>7</t>
  </si>
  <si>
    <t>710058</t>
  </si>
  <si>
    <t>710059</t>
  </si>
  <si>
    <t>710250</t>
  </si>
  <si>
    <t>715890</t>
  </si>
  <si>
    <t>721410</t>
  </si>
  <si>
    <t>725620</t>
  </si>
  <si>
    <t>725910</t>
  </si>
  <si>
    <t>728620</t>
  </si>
  <si>
    <t>745620</t>
  </si>
  <si>
    <t>8</t>
  </si>
  <si>
    <t>710074</t>
  </si>
  <si>
    <t>710100</t>
  </si>
  <si>
    <t>712380</t>
  </si>
  <si>
    <t>712770</t>
  </si>
  <si>
    <t>713930</t>
  </si>
  <si>
    <t>719820</t>
  </si>
  <si>
    <t>720006</t>
  </si>
  <si>
    <t>720007</t>
  </si>
  <si>
    <t>720009</t>
  </si>
  <si>
    <t>723780</t>
  </si>
  <si>
    <t>725290</t>
  </si>
  <si>
    <t>725300</t>
  </si>
  <si>
    <t>725330</t>
  </si>
  <si>
    <t>755400</t>
  </si>
  <si>
    <t>755470</t>
  </si>
  <si>
    <t>755480</t>
  </si>
  <si>
    <t>755830</t>
  </si>
  <si>
    <t>Grant Fd</t>
  </si>
  <si>
    <t>TDC</t>
  </si>
  <si>
    <t>Res.</t>
  </si>
  <si>
    <t>Instr.</t>
  </si>
  <si>
    <t>Ext.</t>
  </si>
  <si>
    <t>AG</t>
  </si>
  <si>
    <t>CEAT</t>
  </si>
  <si>
    <t>CHS</t>
  </si>
  <si>
    <t>TUL</t>
  </si>
  <si>
    <t>EDU</t>
  </si>
  <si>
    <t>GU</t>
  </si>
  <si>
    <t>OKC</t>
  </si>
  <si>
    <t>OKM</t>
  </si>
  <si>
    <t>VM</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</si>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</sst>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sz val="10"/>
      <name val="Arial"/>
      <family val="2"/>
    </font>
    <font>
      <sz val="8"/>
      <name val="Arial"/>
      <family val="2"/>
    </font>
    <font>
      <b/>
      <sz val="8"/>
      <name val="Arial"/>
      <family val="2"/>
    </font>
    <font>
      <b/>
      <sz val="8"/>
      <name val="Arial"/>
      <family val="2"/>
    </font>
    <font>
      <b/>
      <i/>
      <u/>
      <sz val="8"/>
      <name val="Arial"/>
      <family val="2"/>
    </font>
    <font>
      <b/>
      <sz val="8"/>
      <name val="Arial"/>
      <family val="2"/>
    </font>
    <font>
      <sz val="8"/>
      <name val="Arial"/>
      <family val="2"/>
    </font>
    <font>
      <b/>
      <sz val="10"/>
      <name val="Arial"/>
      <family val="2"/>
    </font>
    <font>
      <sz val="10"/>
      <color theme="1"/>
      <name val="Arial"/>
      <family val="2"/>
    </font>
    <font>
      <b/>
      <sz val="10"/>
      <color theme="1"/>
      <name val="Arial"/>
      <family val="2"/>
    </font>
    <font>
      <sz val="10"/>
      <color rgb="FF00000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BFD2E2"/>
      </patternFill>
    </fill>
  </fills>
  <borders count="7">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rgb="FF608BB4"/>
      </left>
      <right style="medium">
        <color rgb="FF608BB4"/>
      </right>
      <top style="medium">
        <color rgb="FF608BB4"/>
      </top>
      <bottom style="medium">
        <color rgb="FF608BB4"/>
      </bottom>
      <diagonal/>
    </border>
    <border>
      <left style="medium">
        <color rgb="FFCCCCCC"/>
      </left>
      <right style="medium">
        <color rgb="FFCCCCCC"/>
      </right>
      <top style="medium">
        <color rgb="FFCCCCCC"/>
      </top>
      <bottom style="medium">
        <color rgb="FFCCCCCC"/>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1" fillId="0" borderId="0"/>
  </cellStyleXfs>
  <cellXfs count="88">
    <xf numFmtId="0" fontId="0" fillId="0" borderId="0" xfId="0"/>
    <xf numFmtId="3" fontId="4" fillId="0" borderId="0" xfId="0" applyNumberFormat="1" applyFont="1"/>
    <xf numFmtId="3" fontId="2" fillId="0" borderId="0" xfId="0" applyNumberFormat="1" applyFont="1"/>
    <xf numFmtId="3" fontId="4" fillId="2" borderId="0" xfId="0" applyNumberFormat="1" applyFont="1" applyFill="1" applyAlignment="1">
      <alignment horizontal="center"/>
    </xf>
    <xf numFmtId="3" fontId="4" fillId="2" borderId="1" xfId="0" applyNumberFormat="1" applyFont="1" applyFill="1" applyBorder="1" applyAlignment="1">
      <alignment horizontal="center"/>
    </xf>
    <xf numFmtId="3" fontId="3" fillId="0" borderId="0" xfId="0" applyNumberFormat="1" applyFont="1" applyFill="1"/>
    <xf numFmtId="3" fontId="4" fillId="0" borderId="0" xfId="0" applyNumberFormat="1" applyFont="1" applyFill="1" applyBorder="1" applyAlignment="1">
      <alignment horizontal="center"/>
    </xf>
    <xf numFmtId="3" fontId="2" fillId="0" borderId="0" xfId="0" applyNumberFormat="1" applyFont="1" applyFill="1"/>
    <xf numFmtId="3" fontId="3" fillId="0" borderId="0" xfId="0" applyNumberFormat="1" applyFont="1"/>
    <xf numFmtId="3" fontId="2" fillId="0" borderId="1" xfId="0" applyNumberFormat="1" applyFont="1" applyBorder="1"/>
    <xf numFmtId="3" fontId="2" fillId="0" borderId="2" xfId="0" applyNumberFormat="1" applyFont="1" applyBorder="1"/>
    <xf numFmtId="3" fontId="2" fillId="0" borderId="0" xfId="0" applyNumberFormat="1" applyFont="1" applyAlignment="1">
      <alignment horizontal="right"/>
    </xf>
    <xf numFmtId="3" fontId="2" fillId="0" borderId="0" xfId="0" applyNumberFormat="1" applyFont="1" applyBorder="1"/>
    <xf numFmtId="3" fontId="5" fillId="0" borderId="0" xfId="0" applyNumberFormat="1" applyFont="1"/>
    <xf numFmtId="3" fontId="6" fillId="0" borderId="0" xfId="0" applyNumberFormat="1" applyFont="1"/>
    <xf numFmtId="3" fontId="7" fillId="0" borderId="0" xfId="0" applyNumberFormat="1" applyFont="1"/>
    <xf numFmtId="3" fontId="6" fillId="3" borderId="0" xfId="0" applyNumberFormat="1" applyFont="1" applyFill="1" applyAlignment="1">
      <alignment horizontal="center"/>
    </xf>
    <xf numFmtId="3" fontId="6" fillId="3" borderId="1" xfId="0" applyNumberFormat="1" applyFont="1" applyFill="1" applyBorder="1" applyAlignment="1">
      <alignment horizontal="center"/>
    </xf>
    <xf numFmtId="3" fontId="6" fillId="0" borderId="0" xfId="0" applyNumberFormat="1" applyFont="1" applyFill="1" applyBorder="1" applyAlignment="1">
      <alignment horizontal="center"/>
    </xf>
    <xf numFmtId="3" fontId="7" fillId="0" borderId="0" xfId="0" applyNumberFormat="1" applyFont="1" applyFill="1"/>
    <xf numFmtId="3" fontId="7" fillId="0" borderId="1" xfId="0" applyNumberFormat="1" applyFont="1" applyBorder="1"/>
    <xf numFmtId="3" fontId="7" fillId="0" borderId="2" xfId="0" applyNumberFormat="1" applyFont="1" applyBorder="1"/>
    <xf numFmtId="3" fontId="7" fillId="0" borderId="0" xfId="0" applyNumberFormat="1" applyFont="1" applyBorder="1"/>
    <xf numFmtId="3" fontId="7" fillId="0" borderId="0" xfId="0" applyNumberFormat="1" applyFont="1" applyAlignment="1">
      <alignment horizontal="center"/>
    </xf>
    <xf numFmtId="3" fontId="7" fillId="0" borderId="0" xfId="0" quotePrefix="1" applyNumberFormat="1" applyFont="1"/>
    <xf numFmtId="3" fontId="6" fillId="0" borderId="1" xfId="0" applyNumberFormat="1" applyFont="1" applyFill="1" applyBorder="1" applyAlignment="1">
      <alignment horizontal="center"/>
    </xf>
    <xf numFmtId="3" fontId="2" fillId="0" borderId="0" xfId="0" applyNumberFormat="1" applyFont="1" applyFill="1" applyBorder="1"/>
    <xf numFmtId="3" fontId="6" fillId="0" borderId="0" xfId="0" applyNumberFormat="1" applyFont="1" applyAlignment="1">
      <alignment horizontal="center"/>
    </xf>
    <xf numFmtId="3" fontId="6" fillId="0" borderId="0" xfId="0" applyNumberFormat="1" applyFont="1" applyFill="1" applyAlignment="1">
      <alignment horizontal="center"/>
    </xf>
    <xf numFmtId="3" fontId="7" fillId="0" borderId="0" xfId="0" applyNumberFormat="1" applyFont="1" applyFill="1" applyBorder="1"/>
    <xf numFmtId="3" fontId="6" fillId="3" borderId="0" xfId="0" applyNumberFormat="1" applyFont="1" applyFill="1" applyBorder="1" applyAlignment="1">
      <alignment horizontal="center"/>
    </xf>
    <xf numFmtId="3" fontId="4" fillId="2" borderId="0" xfId="0" applyNumberFormat="1" applyFont="1" applyFill="1" applyBorder="1" applyAlignment="1">
      <alignment horizontal="center"/>
    </xf>
    <xf numFmtId="3" fontId="6" fillId="0" borderId="0" xfId="0" applyNumberFormat="1" applyFont="1" applyAlignment="1">
      <alignment horizontal="right"/>
    </xf>
    <xf numFmtId="3" fontId="3" fillId="2" borderId="0" xfId="0" applyNumberFormat="1" applyFont="1" applyFill="1" applyAlignment="1">
      <alignment horizontal="center"/>
    </xf>
    <xf numFmtId="3" fontId="3" fillId="2" borderId="0" xfId="0" applyNumberFormat="1" applyFont="1" applyFill="1" applyBorder="1" applyAlignment="1">
      <alignment horizontal="center"/>
    </xf>
    <xf numFmtId="3" fontId="7" fillId="0" borderId="1" xfId="0" applyNumberFormat="1" applyFont="1" applyFill="1" applyBorder="1"/>
    <xf numFmtId="3" fontId="7" fillId="0" borderId="2" xfId="0" applyNumberFormat="1" applyFont="1" applyFill="1" applyBorder="1"/>
    <xf numFmtId="3" fontId="3" fillId="3" borderId="0" xfId="0" applyNumberFormat="1" applyFont="1" applyFill="1" applyAlignment="1">
      <alignment horizontal="center"/>
    </xf>
    <xf numFmtId="10" fontId="3" fillId="0" borderId="0" xfId="0" applyNumberFormat="1" applyFont="1"/>
    <xf numFmtId="10" fontId="2" fillId="0" borderId="0" xfId="0" applyNumberFormat="1" applyFont="1"/>
    <xf numFmtId="10" fontId="6" fillId="0" borderId="0" xfId="0" applyNumberFormat="1" applyFont="1" applyAlignment="1">
      <alignment horizontal="center"/>
    </xf>
    <xf numFmtId="10" fontId="7" fillId="0" borderId="0" xfId="0" applyNumberFormat="1" applyFont="1"/>
    <xf numFmtId="3" fontId="3" fillId="0" borderId="0" xfId="0" applyNumberFormat="1" applyFont="1" applyFill="1" applyAlignment="1">
      <alignment horizontal="center"/>
    </xf>
    <xf numFmtId="3" fontId="3" fillId="0" borderId="0" xfId="0" applyNumberFormat="1" applyFont="1" applyAlignment="1">
      <alignment horizontal="center"/>
    </xf>
    <xf numFmtId="3" fontId="3" fillId="0" borderId="0" xfId="1" applyNumberFormat="1" applyFont="1"/>
    <xf numFmtId="3" fontId="2" fillId="0" borderId="0" xfId="1" applyNumberFormat="1" applyFont="1"/>
    <xf numFmtId="3" fontId="5" fillId="0" borderId="0" xfId="1" applyNumberFormat="1" applyFont="1"/>
    <xf numFmtId="3" fontId="3" fillId="0" borderId="0" xfId="1" applyNumberFormat="1" applyFont="1" applyAlignment="1">
      <alignment horizontal="right"/>
    </xf>
    <xf numFmtId="3" fontId="3" fillId="0" borderId="0" xfId="1" applyNumberFormat="1" applyFont="1" applyAlignment="1">
      <alignment horizontal="center"/>
    </xf>
    <xf numFmtId="3" fontId="2" fillId="0" borderId="0" xfId="1" applyNumberFormat="1" applyFont="1" applyBorder="1"/>
    <xf numFmtId="3" fontId="3" fillId="2" borderId="0" xfId="1" applyNumberFormat="1" applyFont="1" applyFill="1" applyAlignment="1">
      <alignment horizontal="center"/>
    </xf>
    <xf numFmtId="3" fontId="3" fillId="0" borderId="0" xfId="1" applyNumberFormat="1" applyFont="1" applyFill="1" applyBorder="1" applyAlignment="1">
      <alignment horizontal="center"/>
    </xf>
    <xf numFmtId="3" fontId="3" fillId="2" borderId="1" xfId="1" applyNumberFormat="1" applyFont="1" applyFill="1" applyBorder="1" applyAlignment="1">
      <alignment horizontal="center"/>
    </xf>
    <xf numFmtId="3" fontId="3" fillId="0" borderId="1" xfId="1" applyNumberFormat="1" applyFont="1" applyFill="1" applyBorder="1" applyAlignment="1">
      <alignment horizontal="center"/>
    </xf>
    <xf numFmtId="3" fontId="2" fillId="0" borderId="0" xfId="1" applyNumberFormat="1" applyFont="1" applyFill="1"/>
    <xf numFmtId="3" fontId="3" fillId="0" borderId="0" xfId="1" applyNumberFormat="1" applyFont="1" applyFill="1" applyAlignment="1">
      <alignment horizontal="center"/>
    </xf>
    <xf numFmtId="3" fontId="2" fillId="0" borderId="1" xfId="1" applyNumberFormat="1" applyFont="1" applyBorder="1"/>
    <xf numFmtId="3" fontId="2" fillId="0" borderId="2" xfId="1" applyNumberFormat="1" applyFont="1" applyBorder="1"/>
    <xf numFmtId="3" fontId="2" fillId="0" borderId="3" xfId="1" applyNumberFormat="1" applyFont="1" applyBorder="1"/>
    <xf numFmtId="4" fontId="2" fillId="0" borderId="0" xfId="1" applyNumberFormat="1" applyFont="1"/>
    <xf numFmtId="4" fontId="8" fillId="0" borderId="0" xfId="0" applyNumberFormat="1" applyFont="1" applyAlignment="1">
      <alignment horizontal="center"/>
    </xf>
    <xf numFmtId="10" fontId="8" fillId="0" borderId="0" xfId="0" applyNumberFormat="1" applyFont="1" applyAlignment="1">
      <alignment horizontal="center"/>
    </xf>
    <xf numFmtId="10" fontId="8" fillId="0" borderId="0" xfId="0" applyNumberFormat="1" applyFont="1" applyFill="1" applyBorder="1" applyAlignment="1">
      <alignment horizontal="center"/>
    </xf>
    <xf numFmtId="0" fontId="8" fillId="0" borderId="0" xfId="0" applyFont="1" applyAlignment="1">
      <alignment horizontal="center"/>
    </xf>
    <xf numFmtId="4" fontId="1" fillId="0" borderId="0" xfId="0" applyNumberFormat="1" applyFont="1" applyAlignment="1">
      <alignment horizontal="center"/>
    </xf>
    <xf numFmtId="0" fontId="1" fillId="0" borderId="0" xfId="0" applyFont="1" applyAlignment="1">
      <alignment horizontal="center"/>
    </xf>
    <xf numFmtId="0" fontId="8" fillId="0" borderId="0" xfId="0" applyFont="1" applyFill="1" applyAlignment="1">
      <alignment horizontal="center"/>
    </xf>
    <xf numFmtId="0" fontId="10" fillId="4" borderId="4" xfId="0" applyFont="1" applyFill="1" applyBorder="1" applyAlignment="1">
      <alignment horizontal="center" vertical="top"/>
    </xf>
    <xf numFmtId="0" fontId="9" fillId="0" borderId="5" xfId="0" applyFont="1" applyBorder="1" applyAlignment="1">
      <alignment horizontal="center" vertical="top"/>
    </xf>
    <xf numFmtId="0" fontId="9" fillId="0" borderId="0" xfId="0" applyFont="1" applyBorder="1" applyAlignment="1">
      <alignment horizontal="center" vertical="top"/>
    </xf>
    <xf numFmtId="0" fontId="1" fillId="0" borderId="0" xfId="0" applyFont="1" applyFill="1" applyAlignment="1">
      <alignment horizontal="center"/>
    </xf>
    <xf numFmtId="10" fontId="1" fillId="0" borderId="0" xfId="0" applyNumberFormat="1" applyFont="1" applyAlignment="1">
      <alignment horizontal="center"/>
    </xf>
    <xf numFmtId="0" fontId="11" fillId="0" borderId="0" xfId="0" applyFont="1" applyFill="1" applyBorder="1" applyAlignment="1" applyProtection="1">
      <alignment horizontal="center" vertical="center" wrapText="1"/>
    </xf>
    <xf numFmtId="0" fontId="1" fillId="0" borderId="6" xfId="0" applyFont="1" applyBorder="1" applyAlignment="1">
      <alignment horizontal="center"/>
    </xf>
    <xf numFmtId="0" fontId="11" fillId="0" borderId="6" xfId="0" applyFont="1" applyFill="1" applyBorder="1" applyAlignment="1" applyProtection="1">
      <alignment horizontal="center" vertical="center" wrapText="1"/>
    </xf>
    <xf numFmtId="4" fontId="8" fillId="0" borderId="0" xfId="0" applyNumberFormat="1" applyFont="1" applyFill="1" applyBorder="1" applyAlignment="1">
      <alignment horizontal="center"/>
    </xf>
    <xf numFmtId="4" fontId="1" fillId="0" borderId="1" xfId="0" applyNumberFormat="1" applyFont="1" applyBorder="1" applyAlignment="1">
      <alignment horizontal="center"/>
    </xf>
    <xf numFmtId="10" fontId="1" fillId="0" borderId="1" xfId="0" applyNumberFormat="1" applyFont="1" applyBorder="1" applyAlignment="1">
      <alignment horizontal="center"/>
    </xf>
    <xf numFmtId="0" fontId="1" fillId="0" borderId="0" xfId="0" applyFont="1" applyBorder="1" applyAlignment="1">
      <alignment horizontal="center"/>
    </xf>
    <xf numFmtId="0" fontId="1" fillId="0" borderId="6" xfId="0" applyFont="1" applyFill="1" applyBorder="1" applyAlignment="1">
      <alignment horizontal="center"/>
    </xf>
    <xf numFmtId="0" fontId="10" fillId="0" borderId="5" xfId="0" applyFont="1" applyBorder="1" applyAlignment="1">
      <alignment horizontal="center" vertical="top"/>
    </xf>
    <xf numFmtId="0" fontId="8" fillId="0" borderId="0" xfId="0" applyFont="1"/>
    <xf numFmtId="0" fontId="8" fillId="0" borderId="0" xfId="0" applyFont="1" applyBorder="1" applyAlignment="1">
      <alignment horizontal="center"/>
    </xf>
    <xf numFmtId="0" fontId="8" fillId="0" borderId="6" xfId="0" applyFont="1" applyBorder="1" applyAlignment="1">
      <alignment horizontal="center"/>
    </xf>
    <xf numFmtId="4" fontId="8" fillId="0" borderId="0" xfId="0" applyNumberFormat="1" applyFont="1" applyBorder="1" applyAlignment="1">
      <alignment horizontal="center"/>
    </xf>
    <xf numFmtId="10" fontId="8" fillId="0" borderId="0" xfId="0" applyNumberFormat="1" applyFont="1" applyBorder="1" applyAlignment="1">
      <alignment horizontal="center"/>
    </xf>
    <xf numFmtId="4" fontId="1" fillId="0" borderId="0" xfId="0" applyNumberFormat="1" applyFont="1" applyFill="1" applyAlignment="1">
      <alignment horizontal="center"/>
    </xf>
    <xf numFmtId="3" fontId="2" fillId="0" borderId="1" xfId="1" applyNumberFormat="1" applyFont="1" applyFill="1" applyBorder="1"/>
  </cellXfs>
  <cellStyles count="2">
    <cellStyle name="Normal" xfId="0" builtinId="0"/>
    <cellStyle name="Normal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S73"/>
  <sheetViews>
    <sheetView workbookViewId="0">
      <pane xSplit="1" ySplit="6" topLeftCell="E7" activePane="bottomRight" state="frozen"/>
      <selection activeCell="O2" sqref="O2"/>
      <selection pane="topRight" activeCell="O2" sqref="O2"/>
      <selection pane="bottomLeft" activeCell="O2" sqref="O2"/>
      <selection pane="bottomRight" activeCell="F38" sqref="F38"/>
    </sheetView>
  </sheetViews>
  <sheetFormatPr defaultRowHeight="11.25" outlineLevelRow="1" x14ac:dyDescent="0.2"/>
  <cols>
    <col min="1" max="1" width="19" style="2" customWidth="1"/>
    <col min="2" max="2" width="10.5703125" style="2" customWidth="1"/>
    <col min="3" max="3" width="9.85546875" style="2" bestFit="1" customWidth="1"/>
    <col min="4" max="4" width="10.5703125" style="2" customWidth="1"/>
    <col min="5" max="5" width="10.28515625" style="2" customWidth="1"/>
    <col min="6" max="6" width="9.7109375" style="2" customWidth="1"/>
    <col min="7" max="7" width="10.5703125" style="2" customWidth="1"/>
    <col min="8" max="8" width="11.140625" style="2" customWidth="1"/>
    <col min="9" max="9" width="10.140625" style="2" customWidth="1"/>
    <col min="10" max="13" width="9.7109375" style="2" customWidth="1"/>
    <col min="14" max="15" width="10.140625" style="2" customWidth="1"/>
    <col min="16" max="16" width="9.7109375" style="2" customWidth="1"/>
    <col min="17" max="17" width="10" style="2" bestFit="1" customWidth="1"/>
    <col min="18" max="18" width="9.5703125" style="2" bestFit="1" customWidth="1"/>
    <col min="19" max="19" width="9.5703125" style="27" bestFit="1" customWidth="1"/>
    <col min="20" max="16384" width="9.140625" style="2"/>
  </cols>
  <sheetData>
    <row r="1" spans="1:19" x14ac:dyDescent="0.2">
      <c r="A1" s="8" t="s">
        <v>82</v>
      </c>
      <c r="H1" s="13"/>
      <c r="Q1" s="32" t="s">
        <v>42</v>
      </c>
      <c r="R1" s="27"/>
      <c r="S1" s="2"/>
    </row>
    <row r="2" spans="1:19" x14ac:dyDescent="0.2">
      <c r="A2" s="1" t="s">
        <v>0</v>
      </c>
      <c r="R2" s="27"/>
      <c r="S2" s="2"/>
    </row>
    <row r="3" spans="1:19" x14ac:dyDescent="0.2">
      <c r="P3" s="12"/>
      <c r="Q3" s="27" t="s">
        <v>34</v>
      </c>
      <c r="R3" s="27"/>
      <c r="S3" s="2"/>
    </row>
    <row r="4" spans="1:19" x14ac:dyDescent="0.2">
      <c r="A4" s="14" t="s">
        <v>39</v>
      </c>
      <c r="B4" s="3"/>
      <c r="C4" s="3"/>
      <c r="D4" s="3"/>
      <c r="E4" s="3"/>
      <c r="F4" s="3"/>
      <c r="G4" s="3"/>
      <c r="H4" s="3" t="s">
        <v>1</v>
      </c>
      <c r="I4" s="3"/>
      <c r="J4" s="3"/>
      <c r="K4" s="3"/>
      <c r="L4" s="42" t="s">
        <v>77</v>
      </c>
      <c r="M4" s="42" t="s">
        <v>75</v>
      </c>
      <c r="N4" s="3"/>
      <c r="O4" s="3"/>
      <c r="P4" s="18" t="s">
        <v>29</v>
      </c>
      <c r="Q4" s="33" t="s">
        <v>77</v>
      </c>
      <c r="R4" s="33" t="s">
        <v>75</v>
      </c>
    </row>
    <row r="5" spans="1:19" x14ac:dyDescent="0.2">
      <c r="B5" s="3" t="s">
        <v>2</v>
      </c>
      <c r="C5" s="3"/>
      <c r="D5" s="3" t="s">
        <v>3</v>
      </c>
      <c r="E5" s="3"/>
      <c r="F5" s="3"/>
      <c r="G5" s="3"/>
      <c r="H5" s="3" t="s">
        <v>4</v>
      </c>
      <c r="I5" s="3" t="s">
        <v>5</v>
      </c>
      <c r="J5" s="3"/>
      <c r="K5" s="3"/>
      <c r="L5" s="42" t="s">
        <v>81</v>
      </c>
      <c r="M5" s="42" t="s">
        <v>81</v>
      </c>
      <c r="N5" s="3"/>
      <c r="O5" s="3" t="s">
        <v>6</v>
      </c>
      <c r="P5" s="18" t="s">
        <v>30</v>
      </c>
      <c r="Q5" s="33" t="s">
        <v>48</v>
      </c>
      <c r="R5" s="3" t="s">
        <v>7</v>
      </c>
    </row>
    <row r="6" spans="1:19" x14ac:dyDescent="0.2">
      <c r="B6" s="4" t="s">
        <v>8</v>
      </c>
      <c r="C6" s="4" t="s">
        <v>9</v>
      </c>
      <c r="D6" s="4" t="s">
        <v>10</v>
      </c>
      <c r="E6" s="4" t="s">
        <v>11</v>
      </c>
      <c r="F6" s="4" t="s">
        <v>12</v>
      </c>
      <c r="G6" s="4" t="s">
        <v>13</v>
      </c>
      <c r="H6" s="4" t="s">
        <v>10</v>
      </c>
      <c r="I6" s="4" t="s">
        <v>15</v>
      </c>
      <c r="J6" s="4" t="s">
        <v>26</v>
      </c>
      <c r="K6" s="34" t="s">
        <v>78</v>
      </c>
      <c r="L6" s="42" t="s">
        <v>80</v>
      </c>
      <c r="M6" s="42" t="s">
        <v>80</v>
      </c>
      <c r="N6" s="4" t="s">
        <v>14</v>
      </c>
      <c r="O6" s="4" t="s">
        <v>16</v>
      </c>
      <c r="P6" s="25" t="s">
        <v>10</v>
      </c>
      <c r="Q6" s="34" t="s">
        <v>8</v>
      </c>
      <c r="R6" s="31" t="s">
        <v>8</v>
      </c>
    </row>
    <row r="7" spans="1:19" s="7" customFormat="1" x14ac:dyDescent="0.2">
      <c r="A7" s="5" t="s">
        <v>17</v>
      </c>
      <c r="B7" s="6"/>
      <c r="C7" s="6"/>
      <c r="D7" s="6"/>
      <c r="E7" s="6"/>
      <c r="F7" s="6"/>
      <c r="G7" s="6"/>
      <c r="H7" s="6"/>
      <c r="I7" s="6"/>
      <c r="J7" s="6"/>
      <c r="K7" s="6"/>
      <c r="L7" s="6"/>
      <c r="M7" s="6"/>
      <c r="N7" s="6"/>
      <c r="O7" s="6"/>
      <c r="P7" s="6"/>
      <c r="Q7" s="6"/>
      <c r="R7" s="6"/>
      <c r="S7" s="28"/>
    </row>
    <row r="8" spans="1:19" ht="11.25" customHeight="1" x14ac:dyDescent="0.2">
      <c r="A8" s="8" t="s">
        <v>18</v>
      </c>
      <c r="B8" s="2">
        <f t="shared" ref="B8:R8" si="0">SUM(B9:B13)</f>
        <v>6584731.0086782398</v>
      </c>
      <c r="C8" s="2">
        <f t="shared" si="0"/>
        <v>71432523.088113666</v>
      </c>
      <c r="D8" s="2">
        <f t="shared" si="0"/>
        <v>17520268.195318241</v>
      </c>
      <c r="E8" s="2">
        <f t="shared" si="0"/>
        <v>6050301.8618776808</v>
      </c>
      <c r="F8" s="2">
        <f t="shared" si="0"/>
        <v>6658765.4817731399</v>
      </c>
      <c r="G8" s="2">
        <f t="shared" si="0"/>
        <v>11388023.150950249</v>
      </c>
      <c r="H8" s="2">
        <f t="shared" si="0"/>
        <v>2708851.4108522004</v>
      </c>
      <c r="I8" s="2">
        <f t="shared" si="0"/>
        <v>9598442.0064105</v>
      </c>
      <c r="J8" s="2">
        <f t="shared" si="0"/>
        <v>926545.59000000008</v>
      </c>
      <c r="K8" s="2">
        <f t="shared" si="0"/>
        <v>1516204.38</v>
      </c>
      <c r="L8" s="2">
        <f t="shared" si="0"/>
        <v>134384656.17397392</v>
      </c>
      <c r="M8" s="2">
        <f t="shared" si="0"/>
        <v>140422449</v>
      </c>
      <c r="N8" s="2">
        <f>SUM(N9:N13)</f>
        <v>818556.2494113599</v>
      </c>
      <c r="O8" s="2">
        <f>SUM(O9:O13)</f>
        <v>5051321.0202552406</v>
      </c>
      <c r="P8" s="2">
        <f>SUM(P9:P13)</f>
        <v>4816919.6957737803</v>
      </c>
      <c r="Q8" s="2">
        <f t="shared" si="0"/>
        <v>145071453.13941431</v>
      </c>
      <c r="R8" s="2">
        <f t="shared" si="0"/>
        <v>149071820</v>
      </c>
    </row>
    <row r="9" spans="1:19" s="7" customFormat="1" ht="11.25" customHeight="1" outlineLevel="1" x14ac:dyDescent="0.2">
      <c r="A9" s="7" t="s">
        <v>19</v>
      </c>
      <c r="B9" s="7">
        <f>SUM(Research!B9+Instruction!B9+Extension!B9)</f>
        <v>5025134.6399999997</v>
      </c>
      <c r="C9" s="7">
        <f>SUM(Research!C9+Instruction!C9+Extension!C9)</f>
        <v>59818015.219999999</v>
      </c>
      <c r="D9" s="7">
        <f>SUM(Research!D9+Instruction!D9+Extension!D9)</f>
        <v>15992443.01</v>
      </c>
      <c r="E9" s="7">
        <f>SUM(Research!E9+Instruction!E9+Extension!E9)</f>
        <v>5994160.9800000004</v>
      </c>
      <c r="F9" s="7">
        <f>SUM(Research!F9+Instruction!F9+Extension!F9)</f>
        <v>6282652.3399999999</v>
      </c>
      <c r="G9" s="7">
        <f>SUM(Research!G9+Instruction!G9+Extension!G9)</f>
        <v>8985110.7599999998</v>
      </c>
      <c r="H9" s="7">
        <f>SUM(Research!H9+Instruction!H9+Extension!H9)</f>
        <v>1658951.83</v>
      </c>
      <c r="I9" s="7">
        <f>SUM(Research!I9+Instruction!I9+Extension!I9)</f>
        <v>7910533.1399999997</v>
      </c>
      <c r="J9" s="7">
        <f>SUM(Research!J9+Instruction!J9+Extension!J9)</f>
        <v>838248.99</v>
      </c>
      <c r="K9" s="7">
        <f>Research!K9+Instruction!K9</f>
        <v>1516204.38</v>
      </c>
      <c r="L9" s="7">
        <f>Research!L9+Instruction!L9+Extension!K9</f>
        <v>114021455.28999999</v>
      </c>
      <c r="M9" s="7">
        <f>10517879+61728208+16459548+4017863+5326197+10526369+1524997+7753171+810331</f>
        <v>118664563</v>
      </c>
      <c r="N9" s="7">
        <f>SUM(Research!N9+Instruction!N9+Extension!M9)</f>
        <v>0</v>
      </c>
      <c r="O9" s="7">
        <f>SUM(Research!O9+Instruction!O9+Extension!N9)</f>
        <v>0</v>
      </c>
      <c r="P9" s="7">
        <f>SUM(Research!P9+Instruction!P9+Extension!O9)</f>
        <v>3438323.09</v>
      </c>
      <c r="Q9" s="7">
        <f>L9+N9+O9+P9</f>
        <v>117459778.38</v>
      </c>
      <c r="R9" s="7">
        <v>123577755</v>
      </c>
      <c r="S9" s="42"/>
    </row>
    <row r="10" spans="1:19" s="7" customFormat="1" ht="11.25" customHeight="1" outlineLevel="1" x14ac:dyDescent="0.2">
      <c r="A10" s="7" t="s">
        <v>20</v>
      </c>
      <c r="B10" s="7">
        <f>SUM(Research!B10+Instruction!B10+Extension!B10)</f>
        <v>121125.41</v>
      </c>
      <c r="C10" s="7">
        <f>SUM(Research!C10+Instruction!C10+Extension!C10)</f>
        <v>906188.5</v>
      </c>
      <c r="D10" s="7">
        <f>SUM(Research!D10+Instruction!D10+Extension!D10)</f>
        <v>395530.48</v>
      </c>
      <c r="E10" s="7">
        <f>SUM(Research!E10+Instruction!E10+Extension!E10)</f>
        <v>0</v>
      </c>
      <c r="F10" s="7">
        <f>SUM(Research!F10+Instruction!F10+Extension!F10)</f>
        <v>137039.69</v>
      </c>
      <c r="G10" s="7">
        <f>SUM(Research!G10+Instruction!G10+Extension!G10)</f>
        <v>365845.52999999997</v>
      </c>
      <c r="H10" s="7">
        <f>SUM(Research!H10+Instruction!H10+Extension!H10)</f>
        <v>73097.179999999993</v>
      </c>
      <c r="I10" s="7">
        <f>SUM(Research!I10+Instruction!I10+Extension!I10)</f>
        <v>648557.53</v>
      </c>
      <c r="J10" s="7">
        <f>SUM(Research!J10+Instruction!J10+Extension!J10)</f>
        <v>53287.040000000001</v>
      </c>
      <c r="K10" s="7">
        <f>Research!K10+Instruction!K10</f>
        <v>0</v>
      </c>
      <c r="L10" s="7">
        <f>Research!L10+Instruction!L10+Extension!K10</f>
        <v>2700671.36</v>
      </c>
      <c r="M10" s="7">
        <f>121042+1531959+477529+173605+478007+60017+482623+50597</f>
        <v>3375379</v>
      </c>
      <c r="N10" s="7">
        <f>SUM(Research!N10+Instruction!N10+Extension!M10)</f>
        <v>0</v>
      </c>
      <c r="O10" s="7">
        <f>SUM(Research!O10+Instruction!O10+Extension!N10)</f>
        <v>0</v>
      </c>
      <c r="P10" s="7">
        <f>SUM(Research!P10+Instruction!P10+Extension!O10)</f>
        <v>683839.05</v>
      </c>
      <c r="Q10" s="7">
        <f>L10+N10+O10+P10</f>
        <v>3384510.41</v>
      </c>
      <c r="R10" s="7">
        <v>4151920</v>
      </c>
      <c r="S10" s="28"/>
    </row>
    <row r="11" spans="1:19" outlineLevel="1" x14ac:dyDescent="0.2">
      <c r="A11" s="2" t="s">
        <v>21</v>
      </c>
      <c r="B11" s="2">
        <f>SUM(Research!B11+Instruction!B11+Extension!B11)</f>
        <v>0</v>
      </c>
      <c r="C11" s="2">
        <f>SUM(Research!C11+Instruction!C11+Extension!C11)</f>
        <v>7149478.1200000001</v>
      </c>
      <c r="D11" s="2">
        <f>SUM(Research!D11+Instruction!D11+Extension!D11)</f>
        <v>0</v>
      </c>
      <c r="E11" s="2">
        <f>SUM(Research!E11+Instruction!E11+Extension!E11)</f>
        <v>0</v>
      </c>
      <c r="F11" s="2">
        <f>SUM(Research!F11+Instruction!F11+Extension!F11)</f>
        <v>0</v>
      </c>
      <c r="G11" s="2">
        <f>SUM(Research!G11+Instruction!G11+Extension!G11)</f>
        <v>0</v>
      </c>
      <c r="H11" s="2">
        <f>SUM(Research!H11+Instruction!H11+Extension!H11)</f>
        <v>0</v>
      </c>
      <c r="I11" s="2">
        <f>SUM(Research!I11+Instruction!I11+Extension!I11)</f>
        <v>0</v>
      </c>
      <c r="J11" s="2">
        <f>SUM(Research!J11+Instruction!J11+Extension!J11)</f>
        <v>0</v>
      </c>
      <c r="K11" s="7">
        <f>Research!K11+Instruction!K11</f>
        <v>0</v>
      </c>
      <c r="L11" s="7">
        <f>Research!L11+Instruction!L11+Extension!K11</f>
        <v>7149478.1200000001</v>
      </c>
      <c r="M11" s="7">
        <v>7078480</v>
      </c>
      <c r="N11" s="2">
        <f>SUM(Research!N11+Instruction!N11+Extension!M11)</f>
        <v>0</v>
      </c>
      <c r="O11" s="2">
        <f>SUM(Research!O11+Instruction!O11+Extension!N11)</f>
        <v>0</v>
      </c>
      <c r="P11" s="2">
        <f>SUM(Research!P11+Instruction!P11+Extension!O11)</f>
        <v>0</v>
      </c>
      <c r="Q11" s="7">
        <f>L11+N11+O11+P11</f>
        <v>7149478.1200000001</v>
      </c>
      <c r="R11" s="2">
        <v>7078480</v>
      </c>
      <c r="S11" s="43"/>
    </row>
    <row r="12" spans="1:19" outlineLevel="1" x14ac:dyDescent="0.2">
      <c r="A12" s="2" t="s">
        <v>79</v>
      </c>
      <c r="B12" s="2">
        <f>SUM(Research!B12+Instruction!B12+Extension!B12)</f>
        <v>1382390.0786782401</v>
      </c>
      <c r="C12" s="2">
        <f>SUM(Research!C12+Instruction!C12+Extension!C12)</f>
        <v>3196953.9281136696</v>
      </c>
      <c r="D12" s="2">
        <f>SUM(Research!D12+Instruction!D12+Extension!D12)</f>
        <v>949100.42531823996</v>
      </c>
      <c r="E12" s="2">
        <f>SUM(Research!E12+Instruction!E12+Extension!E12)</f>
        <v>56140.881877680004</v>
      </c>
      <c r="F12" s="2">
        <f>SUM(Research!F12+Instruction!F12+Extension!F12)</f>
        <v>174974.68177313998</v>
      </c>
      <c r="G12" s="2">
        <f>SUM(Research!G12+Instruction!G12+Extension!G12)</f>
        <v>1868906.0309502499</v>
      </c>
      <c r="H12" s="2">
        <f>SUM(Research!H12+Instruction!H12+Extension!H12)</f>
        <v>942958.49085220019</v>
      </c>
      <c r="I12" s="2">
        <f>SUM(Research!I12+Instruction!I12+Extension!I12)</f>
        <v>739068.98641050002</v>
      </c>
      <c r="J12" s="2">
        <f>SUM(Research!J12+Instruction!J12+Extension!J12)</f>
        <v>0</v>
      </c>
      <c r="K12" s="7">
        <f>Research!K12+Instruction!K12</f>
        <v>0</v>
      </c>
      <c r="L12" s="7">
        <f>Research!L12+Instruction!L12+Extension!K12</f>
        <v>9310493.5039739199</v>
      </c>
      <c r="M12" s="7">
        <f>12923+26667+49596+89850+10855+1344258+3679626+883203+44222+577992+1345584+980932+734947</f>
        <v>9780655</v>
      </c>
      <c r="N12" s="2">
        <f>SUM(Research!N12+Instruction!N12+Extension!M12)</f>
        <v>818556.2494113599</v>
      </c>
      <c r="O12" s="2">
        <f>SUM(Research!O12+Instruction!O12+Extension!N12)</f>
        <v>5051321.0202552406</v>
      </c>
      <c r="P12" s="2">
        <f>SUM(Research!P12+Instruction!P12+Extension!O12)</f>
        <v>505334.15577378008</v>
      </c>
      <c r="Q12" s="7">
        <f>L12+N12+O12+P12</f>
        <v>15685704.9294143</v>
      </c>
      <c r="R12" s="2">
        <f>189877+12203141</f>
        <v>12393018</v>
      </c>
      <c r="S12" s="42"/>
    </row>
    <row r="13" spans="1:19" outlineLevel="1" x14ac:dyDescent="0.2">
      <c r="A13" s="15" t="s">
        <v>37</v>
      </c>
      <c r="B13" s="2">
        <f>SUM(Research!B13+Instruction!B13+Extension!B13)</f>
        <v>56080.88</v>
      </c>
      <c r="C13" s="7">
        <f>SUM(Research!C13+Instruction!C13+Extension!C13)</f>
        <v>361887.31999999995</v>
      </c>
      <c r="D13" s="2">
        <f>SUM(Research!D13+Instruction!D13+Extension!D13)</f>
        <v>183194.28</v>
      </c>
      <c r="E13" s="2">
        <f>SUM(Research!E13+Instruction!E13+Extension!E13)</f>
        <v>0</v>
      </c>
      <c r="F13" s="2">
        <f>SUM(Research!F13+Instruction!F13+Extension!F13)</f>
        <v>64098.770000000004</v>
      </c>
      <c r="G13" s="2">
        <f>SUM(Research!G13+Instruction!G13+Extension!G13)</f>
        <v>168160.83</v>
      </c>
      <c r="H13" s="2">
        <f>SUM(Research!H13+Instruction!H13+Extension!H13)</f>
        <v>33843.910000000003</v>
      </c>
      <c r="I13" s="2">
        <f>SUM(Research!I13+Instruction!I13+Extension!I13)</f>
        <v>300282.34999999998</v>
      </c>
      <c r="J13" s="2">
        <f>SUM(Research!J13+Instruction!J13+Extension!J13)</f>
        <v>35009.56</v>
      </c>
      <c r="K13" s="7">
        <f>Research!K13+Instruction!K13</f>
        <v>0</v>
      </c>
      <c r="L13" s="7">
        <f>Research!L13+Instruction!L13+Extension!K13</f>
        <v>1202557.8999999999</v>
      </c>
      <c r="M13" s="7">
        <f>59511+656895+221096+80379+220065+26946+225238+33242</f>
        <v>1523372</v>
      </c>
      <c r="N13" s="2">
        <f>SUM(Research!N13+Instruction!N13+Extension!M13)</f>
        <v>0</v>
      </c>
      <c r="O13" s="2">
        <f>SUM(Research!O13+Instruction!O13+Extension!N13)</f>
        <v>0</v>
      </c>
      <c r="P13" s="2">
        <f>SUM(Research!P13+Instruction!P13+Extension!O13)</f>
        <v>189423.40000000002</v>
      </c>
      <c r="Q13" s="7">
        <f>L13+N13+O13+P13</f>
        <v>1391981.2999999998</v>
      </c>
      <c r="R13" s="2">
        <v>1870647</v>
      </c>
      <c r="S13" s="18"/>
    </row>
    <row r="15" spans="1:19" x14ac:dyDescent="0.2">
      <c r="A15" s="1" t="s">
        <v>25</v>
      </c>
      <c r="B15" s="2">
        <f t="shared" ref="B15:R15" si="1">SUM(B16:B18)</f>
        <v>1488281.56</v>
      </c>
      <c r="C15" s="2">
        <f t="shared" si="1"/>
        <v>3378502.51</v>
      </c>
      <c r="D15" s="2">
        <f t="shared" si="1"/>
        <v>2271294.2800000003</v>
      </c>
      <c r="E15" s="2">
        <f t="shared" si="1"/>
        <v>182013.4</v>
      </c>
      <c r="F15" s="2">
        <f t="shared" si="1"/>
        <v>270153.95</v>
      </c>
      <c r="G15" s="2">
        <f t="shared" si="1"/>
        <v>1153960.75</v>
      </c>
      <c r="H15" s="2">
        <f t="shared" si="1"/>
        <v>1076743.45</v>
      </c>
      <c r="I15" s="2">
        <f t="shared" si="1"/>
        <v>3491930.62</v>
      </c>
      <c r="J15" s="2">
        <f t="shared" si="1"/>
        <v>0</v>
      </c>
      <c r="K15" s="2">
        <f t="shared" si="1"/>
        <v>17087</v>
      </c>
      <c r="L15" s="2">
        <f t="shared" si="1"/>
        <v>13329967.52</v>
      </c>
      <c r="M15" s="2">
        <f t="shared" si="1"/>
        <v>13670509</v>
      </c>
      <c r="N15" s="2">
        <f>SUM(N16:N18)</f>
        <v>255262.76</v>
      </c>
      <c r="O15" s="2">
        <f>SUM(O16:O18)</f>
        <v>80799.44</v>
      </c>
      <c r="P15" s="2">
        <f>SUM(P16:P18)</f>
        <v>619780.44000000006</v>
      </c>
      <c r="Q15" s="2">
        <f t="shared" si="1"/>
        <v>14285810.16</v>
      </c>
      <c r="R15" s="2">
        <f t="shared" si="1"/>
        <v>15235527</v>
      </c>
    </row>
    <row r="16" spans="1:19" outlineLevel="1" x14ac:dyDescent="0.2">
      <c r="A16" s="2" t="s">
        <v>22</v>
      </c>
      <c r="B16" s="2">
        <f>SUM(Research!B16+Instruction!B16+Extension!B16)</f>
        <v>1485382.29</v>
      </c>
      <c r="C16" s="2">
        <f>SUM(Research!C16+Instruction!C16+Extension!C16)</f>
        <v>3035715.92</v>
      </c>
      <c r="D16" s="2">
        <f>SUM(Research!D16+Instruction!D16+Extension!D16)</f>
        <v>1945399.6</v>
      </c>
      <c r="E16" s="2">
        <f>SUM(Research!E16+Instruction!E16+Extension!E16)</f>
        <v>127458.88</v>
      </c>
      <c r="F16" s="2">
        <f>SUM(Research!F16+Instruction!F16+Extension!F16)</f>
        <v>276143.94</v>
      </c>
      <c r="G16" s="2">
        <f>SUM(Research!G16+Instruction!G16+Extension!G16)</f>
        <v>968558.43</v>
      </c>
      <c r="H16" s="2">
        <f>SUM(Research!H16+Instruction!H16+Extension!H16)</f>
        <v>1029335.47</v>
      </c>
      <c r="I16" s="2">
        <f>SUM(Research!I16+Instruction!I16+Extension!I16)</f>
        <v>2968586.66</v>
      </c>
      <c r="J16" s="2">
        <f>SUM(Research!J16+Instruction!J16+Extension!J16)</f>
        <v>0</v>
      </c>
      <c r="K16" s="7">
        <f>Research!K16+Instruction!K16</f>
        <v>0</v>
      </c>
      <c r="L16" s="7">
        <f>Research!L16+Instruction!L16+Extension!K16</f>
        <v>11836581.189999999</v>
      </c>
      <c r="M16" s="7">
        <f>2125443+2516408+1937872+86822+282292+1185200+986353+2870625</f>
        <v>11991015</v>
      </c>
      <c r="N16" s="2">
        <f>SUM(Research!N16+Instruction!N16+Extension!M16)</f>
        <v>255262.76</v>
      </c>
      <c r="O16" s="2">
        <f>SUM(Research!O16+Instruction!O16+Extension!N16)</f>
        <v>80799.44</v>
      </c>
      <c r="P16" s="2">
        <f>SUM(Research!P16+Instruction!P16+Extension!O16)</f>
        <v>607248.56000000006</v>
      </c>
      <c r="Q16" s="7">
        <f>L16+N16+O16+P16</f>
        <v>12779891.949999999</v>
      </c>
      <c r="R16" s="2">
        <v>13509092</v>
      </c>
      <c r="S16" s="43"/>
    </row>
    <row r="17" spans="1:19" outlineLevel="1" x14ac:dyDescent="0.2">
      <c r="A17" s="2" t="s">
        <v>46</v>
      </c>
      <c r="B17" s="2">
        <f>SUM(Research!B17+Instruction!B17+Extension!B17)</f>
        <v>0</v>
      </c>
      <c r="C17" s="2">
        <f>SUM(Research!C17+Instruction!C17+Extension!C17)</f>
        <v>0</v>
      </c>
      <c r="D17" s="2">
        <f>SUM(Research!D17+Instruction!D17+Extension!D17)</f>
        <v>0</v>
      </c>
      <c r="E17" s="2">
        <f>SUM(Research!E17+Instruction!E17+Extension!E17)</f>
        <v>0</v>
      </c>
      <c r="F17" s="2">
        <f>SUM(Research!F17+Instruction!F17+Extension!F17)</f>
        <v>0</v>
      </c>
      <c r="G17" s="2">
        <f>SUM(Research!G17+Instruction!G17+Extension!G17)</f>
        <v>0</v>
      </c>
      <c r="H17" s="2">
        <f>SUM(Research!H17+Instruction!H17+Extension!H17)</f>
        <v>0</v>
      </c>
      <c r="I17" s="2">
        <f>SUM(Research!I17+Instruction!I17+Extension!I17)</f>
        <v>0</v>
      </c>
      <c r="J17" s="2">
        <f>SUM(Research!J17+Instruction!J17+Extension!J17)</f>
        <v>0</v>
      </c>
      <c r="K17" s="7">
        <f>Research!K17+Instruction!K17</f>
        <v>17087</v>
      </c>
      <c r="L17" s="7">
        <f>Research!L17+Instruction!L17+Extension!K17</f>
        <v>17087</v>
      </c>
      <c r="M17" s="7">
        <v>-175</v>
      </c>
      <c r="N17" s="2">
        <f>SUM(Research!N17+Instruction!N17+Extension!M17)</f>
        <v>0</v>
      </c>
      <c r="O17" s="2">
        <f>SUM(Research!O17+Instruction!O17+Extension!N17)</f>
        <v>0</v>
      </c>
      <c r="P17" s="2">
        <f>SUM(Research!P17+Instruction!P17+Extension!O17)</f>
        <v>0</v>
      </c>
      <c r="Q17" s="7">
        <f>L17+N17+O17+P17</f>
        <v>17087</v>
      </c>
      <c r="R17" s="2">
        <v>-175</v>
      </c>
    </row>
    <row r="18" spans="1:19" outlineLevel="1" x14ac:dyDescent="0.2">
      <c r="A18" s="15" t="s">
        <v>38</v>
      </c>
      <c r="B18" s="2">
        <f>SUM(Research!B18+Instruction!B18+Extension!B18)</f>
        <v>2899.27</v>
      </c>
      <c r="C18" s="2">
        <f>SUM(Research!C18+Instruction!C18+Extension!C18)</f>
        <v>342786.58999999997</v>
      </c>
      <c r="D18" s="2">
        <f>SUM(Research!D18+Instruction!D18+Extension!D18)</f>
        <v>325894.68000000005</v>
      </c>
      <c r="E18" s="2">
        <f>SUM(Research!E18+Instruction!E18+Extension!E18)</f>
        <v>54554.52</v>
      </c>
      <c r="F18" s="2">
        <f>SUM(Research!F18+Instruction!F18+Extension!F18)</f>
        <v>-5989.99</v>
      </c>
      <c r="G18" s="2">
        <f>SUM(Research!G18+Instruction!G18+Extension!G18)</f>
        <v>185402.32</v>
      </c>
      <c r="H18" s="2">
        <f>SUM(Research!H18+Instruction!H18+Extension!H18)</f>
        <v>47407.979999999996</v>
      </c>
      <c r="I18" s="2">
        <f>SUM(Research!I18+Instruction!I18+Extension!I18)</f>
        <v>523343.95999999996</v>
      </c>
      <c r="J18" s="2">
        <f>SUM(Research!J18+Instruction!J18+Extension!J18)</f>
        <v>0</v>
      </c>
      <c r="K18" s="7">
        <f>Research!K18+Instruction!K18</f>
        <v>0</v>
      </c>
      <c r="L18" s="7">
        <f>Research!L18+Instruction!L18+Extension!K18</f>
        <v>1476299.33</v>
      </c>
      <c r="M18" s="7">
        <f>109320+256585+426667+35312+761+191885+31327+627812</f>
        <v>1679669</v>
      </c>
      <c r="N18" s="2">
        <f>SUM(Research!N18+Instruction!N18+Extension!M18)</f>
        <v>0</v>
      </c>
      <c r="O18" s="2">
        <f>SUM(Research!O18+Instruction!O18+Extension!N18)</f>
        <v>0</v>
      </c>
      <c r="P18" s="2">
        <f>SUM(Research!P18+Instruction!P18+Extension!O18)</f>
        <v>12531.88</v>
      </c>
      <c r="Q18" s="7">
        <f>L18+N18+O18+P18</f>
        <v>1488831.21</v>
      </c>
      <c r="R18" s="2">
        <v>1726610</v>
      </c>
    </row>
    <row r="20" spans="1:19" x14ac:dyDescent="0.2">
      <c r="A20" s="1" t="s">
        <v>23</v>
      </c>
      <c r="B20" s="2">
        <f t="shared" ref="B20:R20" si="2">SUM(B21:B23)</f>
        <v>9427271.209999999</v>
      </c>
      <c r="C20" s="2">
        <f t="shared" si="2"/>
        <v>11517114.92</v>
      </c>
      <c r="D20" s="2">
        <f t="shared" si="2"/>
        <v>7427920.5800000001</v>
      </c>
      <c r="E20" s="2">
        <f t="shared" si="2"/>
        <v>27084.809999999998</v>
      </c>
      <c r="F20" s="2">
        <f t="shared" si="2"/>
        <v>311603.15000000002</v>
      </c>
      <c r="G20" s="2">
        <f t="shared" si="2"/>
        <v>11462578.430000002</v>
      </c>
      <c r="H20" s="2">
        <f t="shared" si="2"/>
        <v>5025774.76</v>
      </c>
      <c r="I20" s="2">
        <f t="shared" si="2"/>
        <v>4369043.24</v>
      </c>
      <c r="J20" s="2">
        <f t="shared" si="2"/>
        <v>0</v>
      </c>
      <c r="K20" s="2">
        <f t="shared" si="2"/>
        <v>10538972.359999999</v>
      </c>
      <c r="L20" s="2">
        <f t="shared" si="2"/>
        <v>60107363.460000001</v>
      </c>
      <c r="M20" s="2">
        <f t="shared" si="2"/>
        <v>52660442</v>
      </c>
      <c r="N20" s="2">
        <f>SUM(N21:N23)</f>
        <v>2756721.1399999997</v>
      </c>
      <c r="O20" s="2">
        <f>SUM(O21:O23)</f>
        <v>20781021.789999999</v>
      </c>
      <c r="P20" s="2">
        <f>SUM(P21:P23)</f>
        <v>5934759.0800000001</v>
      </c>
      <c r="Q20" s="2">
        <f t="shared" si="2"/>
        <v>89579865.469999999</v>
      </c>
      <c r="R20" s="2">
        <f t="shared" si="2"/>
        <v>66366213</v>
      </c>
    </row>
    <row r="21" spans="1:19" outlineLevel="1" x14ac:dyDescent="0.2">
      <c r="A21" s="2" t="s">
        <v>22</v>
      </c>
      <c r="B21" s="2">
        <f>SUM(Research!B21+Instruction!B21+Extension!B21)</f>
        <v>8881153.7599999998</v>
      </c>
      <c r="C21" s="2">
        <f>SUM(Research!C21+Instruction!C21+Extension!C21)</f>
        <v>9682942.9399999995</v>
      </c>
      <c r="D21" s="2">
        <f>SUM(Research!D21+Instruction!D21+Extension!D21)</f>
        <v>5866240.2800000003</v>
      </c>
      <c r="E21" s="2">
        <f>SUM(Research!E21+Instruction!E21+Extension!E21)</f>
        <v>21757.73</v>
      </c>
      <c r="F21" s="2">
        <f>SUM(Research!F21+Instruction!F21+Extension!F21)</f>
        <v>284615.89</v>
      </c>
      <c r="G21" s="2">
        <f>SUM(Research!G21+Instruction!G21+Extension!G21)</f>
        <v>9292445.2100000009</v>
      </c>
      <c r="H21" s="2">
        <f>SUM(Research!H21+Instruction!H21+Extension!H21)</f>
        <v>4034271.5300000003</v>
      </c>
      <c r="I21" s="2">
        <f>SUM(Research!I21+Instruction!I21+Extension!I21)</f>
        <v>3290740.83</v>
      </c>
      <c r="J21" s="2">
        <f>SUM(Research!J21+Instruction!J21+Extension!J21)</f>
        <v>0</v>
      </c>
      <c r="K21" s="7">
        <f>Research!K21+Instruction!K21</f>
        <v>0</v>
      </c>
      <c r="L21" s="7">
        <f>Research!L21+Instruction!L21+Extension!K21</f>
        <v>41354168.170000002</v>
      </c>
      <c r="M21" s="7">
        <f>8129032+10767735+6146251+49290+188376+7183967+3841019+3576738</f>
        <v>39882408</v>
      </c>
      <c r="N21" s="2">
        <f>SUM(Research!N21+Instruction!N21+Extension!M21)</f>
        <v>2324665.36</v>
      </c>
      <c r="O21" s="2">
        <f>SUM(Research!O21+Instruction!O21+Extension!N21)</f>
        <v>19671925.800000001</v>
      </c>
      <c r="P21" s="2">
        <f>SUM(Research!P21+Instruction!P21+Extension!O21)</f>
        <v>5182646.57</v>
      </c>
      <c r="Q21" s="7">
        <f>L21+N21+O21+P21</f>
        <v>68533405.900000006</v>
      </c>
      <c r="R21" s="2">
        <v>51541615</v>
      </c>
      <c r="S21" s="43"/>
    </row>
    <row r="22" spans="1:19" outlineLevel="1" x14ac:dyDescent="0.2">
      <c r="A22" s="2" t="s">
        <v>46</v>
      </c>
      <c r="B22" s="2">
        <f>SUM(Research!B22+Instruction!B22+Extension!B22)</f>
        <v>0</v>
      </c>
      <c r="C22" s="2">
        <f>SUM(Research!C22+Instruction!C22+Extension!C22)</f>
        <v>0</v>
      </c>
      <c r="D22" s="2">
        <f>SUM(Research!D22+Instruction!D22+Extension!D22)</f>
        <v>0</v>
      </c>
      <c r="E22" s="2">
        <f>SUM(Research!E22+Instruction!E22+Extension!E22)</f>
        <v>0</v>
      </c>
      <c r="F22" s="2">
        <f>SUM(Research!F22+Instruction!F22+Extension!F22)</f>
        <v>0</v>
      </c>
      <c r="G22" s="2">
        <f>SUM(Research!G22+Instruction!G22+Extension!G22)</f>
        <v>0</v>
      </c>
      <c r="H22" s="2">
        <f>SUM(Research!H22+Instruction!H22+Extension!H22)</f>
        <v>0</v>
      </c>
      <c r="I22" s="2">
        <f>SUM(Research!I22+Instruction!I22+Extension!I22)</f>
        <v>0</v>
      </c>
      <c r="J22" s="2">
        <f>SUM(Research!J22+Instruction!J22+Extension!J22)</f>
        <v>0</v>
      </c>
      <c r="K22" s="7">
        <f>Research!K22+Instruction!K22</f>
        <v>9859382.0399999991</v>
      </c>
      <c r="L22" s="7">
        <f>Research!L22+Instruction!L22+Extension!K22</f>
        <v>9859382.0399999991</v>
      </c>
      <c r="M22" s="7">
        <f>-58250+3772193</f>
        <v>3713943</v>
      </c>
      <c r="N22" s="2">
        <f>SUM(Research!N22+Instruction!N22+Extension!M22)</f>
        <v>0</v>
      </c>
      <c r="O22" s="2">
        <f>SUM(Research!O22+Instruction!O22+Extension!N22)</f>
        <v>0</v>
      </c>
      <c r="P22" s="2">
        <f>SUM(Research!P22+Instruction!P22+Extension!O22)</f>
        <v>0</v>
      </c>
      <c r="Q22" s="7">
        <f>L22+N22+O22+P22</f>
        <v>9859382.0399999991</v>
      </c>
      <c r="R22" s="2">
        <v>3713943</v>
      </c>
    </row>
    <row r="23" spans="1:19" outlineLevel="1" x14ac:dyDescent="0.2">
      <c r="A23" s="15" t="s">
        <v>38</v>
      </c>
      <c r="B23" s="2">
        <f>SUM(Research!B23+Instruction!B23+Extension!B23)</f>
        <v>546117.44999999995</v>
      </c>
      <c r="C23" s="2">
        <f>SUM(Research!C23+Instruction!C23+Extension!C23)</f>
        <v>1834171.98</v>
      </c>
      <c r="D23" s="2">
        <f>SUM(Research!D23+Instruction!D23+Extension!D23)</f>
        <v>1561680.3</v>
      </c>
      <c r="E23" s="2">
        <f>SUM(Research!E23+Instruction!E23+Extension!E23)</f>
        <v>5327.08</v>
      </c>
      <c r="F23" s="2">
        <f>SUM(Research!F23+Instruction!F23+Extension!F23)</f>
        <v>26987.260000000002</v>
      </c>
      <c r="G23" s="2">
        <f>SUM(Research!G23+Instruction!G23+Extension!G23)</f>
        <v>2170133.2200000002</v>
      </c>
      <c r="H23" s="2">
        <f>SUM(Research!H23+Instruction!H23+Extension!H23)</f>
        <v>991503.23</v>
      </c>
      <c r="I23" s="2">
        <f>SUM(Research!I23+Instruction!I23+Extension!I23)</f>
        <v>1078302.4099999999</v>
      </c>
      <c r="J23" s="2">
        <f>SUM(Research!J23+Instruction!J23+Extension!J23)</f>
        <v>0</v>
      </c>
      <c r="K23" s="7">
        <f>Research!K23+Instruction!K23</f>
        <v>679590.32</v>
      </c>
      <c r="L23" s="7">
        <f>Research!L23+Instruction!L23+Extension!K23</f>
        <v>8893813.25</v>
      </c>
      <c r="M23" s="7">
        <f>606202+1995815+1626584+7254+780758+2047181+880862+1119435</f>
        <v>9064091</v>
      </c>
      <c r="N23" s="2">
        <f>SUM(Research!N23+Instruction!N23+Extension!M23)</f>
        <v>432055.78</v>
      </c>
      <c r="O23" s="2">
        <f>SUM(Research!O23+Instruction!O23+Extension!N23)</f>
        <v>1109095.99</v>
      </c>
      <c r="P23" s="2">
        <f>SUM(Research!P23+Instruction!P23+Extension!O23)</f>
        <v>752112.51</v>
      </c>
      <c r="Q23" s="7">
        <f>L23+N23+O23+P23</f>
        <v>11187077.529999999</v>
      </c>
      <c r="R23" s="2">
        <v>11110655</v>
      </c>
    </row>
    <row r="25" spans="1:19" x14ac:dyDescent="0.2">
      <c r="A25" s="1" t="s">
        <v>24</v>
      </c>
      <c r="B25" s="2">
        <f t="shared" ref="B25:R25" si="3">SUM(B26:B28)</f>
        <v>2174478.36</v>
      </c>
      <c r="C25" s="2">
        <f t="shared" si="3"/>
        <v>2383726.12</v>
      </c>
      <c r="D25" s="2">
        <f t="shared" si="3"/>
        <v>878087.52</v>
      </c>
      <c r="E25" s="2">
        <f t="shared" si="3"/>
        <v>94675.61</v>
      </c>
      <c r="F25" s="2">
        <f t="shared" si="3"/>
        <v>213710.24999999997</v>
      </c>
      <c r="G25" s="2">
        <f t="shared" si="3"/>
        <v>2235404.7399999998</v>
      </c>
      <c r="H25" s="2">
        <f t="shared" si="3"/>
        <v>1313051.3500000001</v>
      </c>
      <c r="I25" s="2">
        <f t="shared" si="3"/>
        <v>461976.29000000004</v>
      </c>
      <c r="J25" s="2">
        <f t="shared" si="3"/>
        <v>0</v>
      </c>
      <c r="K25" s="2">
        <f t="shared" si="3"/>
        <v>87785</v>
      </c>
      <c r="L25" s="2">
        <f t="shared" si="3"/>
        <v>9842895.2400000002</v>
      </c>
      <c r="M25" s="2">
        <f t="shared" si="3"/>
        <v>10881688</v>
      </c>
      <c r="N25" s="2">
        <f>SUM(N26:N28)</f>
        <v>30242.9</v>
      </c>
      <c r="O25" s="2">
        <f>SUM(O26:O28)</f>
        <v>5875.43</v>
      </c>
      <c r="P25" s="2">
        <f>SUM(P26:P28)</f>
        <v>140403.39000000001</v>
      </c>
      <c r="Q25" s="2">
        <f>SUM(Q26:Q28)</f>
        <v>10019416.959999999</v>
      </c>
      <c r="R25" s="2">
        <f t="shared" si="3"/>
        <v>13312865</v>
      </c>
    </row>
    <row r="26" spans="1:19" outlineLevel="1" x14ac:dyDescent="0.2">
      <c r="A26" s="2" t="s">
        <v>22</v>
      </c>
      <c r="B26" s="2">
        <f>SUM(Research!B26+Instruction!B26+Extension!B26)</f>
        <v>2031540.75</v>
      </c>
      <c r="C26" s="2">
        <f>SUM(Research!C26+Instruction!C26+Extension!C26)</f>
        <v>2363462.27</v>
      </c>
      <c r="D26" s="2">
        <f>SUM(Research!D26+Instruction!D26+Extension!D26)</f>
        <v>825625.28</v>
      </c>
      <c r="E26" s="2">
        <f>SUM(Research!E26+Instruction!E26+Extension!E26)</f>
        <v>94675.61</v>
      </c>
      <c r="F26" s="2">
        <f>SUM(Research!F26+Instruction!F26+Extension!F26)</f>
        <v>204496.34999999998</v>
      </c>
      <c r="G26" s="2">
        <f>SUM(Research!G26+Instruction!G26+Extension!G26)</f>
        <v>2158032.0099999998</v>
      </c>
      <c r="H26" s="2">
        <f>SUM(Research!H26+Instruction!H26+Extension!H26)</f>
        <v>1167518.96</v>
      </c>
      <c r="I26" s="2">
        <f>SUM(Research!I26+Instruction!I26+Extension!I26)</f>
        <v>441159.04000000004</v>
      </c>
      <c r="J26" s="2">
        <f>SUM(Research!J26+Instruction!J26+Extension!J26)</f>
        <v>0</v>
      </c>
      <c r="K26" s="7">
        <f>Research!K26+Instruction!K26</f>
        <v>0</v>
      </c>
      <c r="L26" s="7">
        <f>Research!L26+Instruction!L26+Extension!K26</f>
        <v>9286510.2699999996</v>
      </c>
      <c r="M26" s="7">
        <f>1869001+3983234+649579+61264+761681+1515665+1238458+446910</f>
        <v>10525792</v>
      </c>
      <c r="N26" s="2">
        <f>SUM(Research!N26+Instruction!N26+Extension!M26)</f>
        <v>30242.9</v>
      </c>
      <c r="O26" s="2">
        <f>SUM(Research!O26+Instruction!O26+Extension!N26)</f>
        <v>5875.43</v>
      </c>
      <c r="P26" s="2">
        <f>SUM(Research!P26+Instruction!P26+Extension!O26)</f>
        <v>112714.17</v>
      </c>
      <c r="Q26" s="7">
        <f>L26+N26+O26+P26</f>
        <v>9435342.7699999996</v>
      </c>
      <c r="R26" s="2">
        <v>12771330</v>
      </c>
      <c r="S26" s="43"/>
    </row>
    <row r="27" spans="1:19" outlineLevel="1" x14ac:dyDescent="0.2">
      <c r="A27" s="2" t="s">
        <v>46</v>
      </c>
      <c r="B27" s="2">
        <f>SUM(Research!B27+Instruction!B27+Extension!B27)</f>
        <v>0</v>
      </c>
      <c r="C27" s="2">
        <f>SUM(Research!C27+Instruction!C27+Extension!C27)</f>
        <v>0</v>
      </c>
      <c r="D27" s="2">
        <f>SUM(Research!D27+Instruction!D27+Extension!D27)</f>
        <v>0</v>
      </c>
      <c r="E27" s="2">
        <f>SUM(Research!E27+Instruction!E27+Extension!E27)</f>
        <v>0</v>
      </c>
      <c r="F27" s="2">
        <f>SUM(Research!F27+Instruction!F27+Extension!F27)</f>
        <v>0</v>
      </c>
      <c r="G27" s="2">
        <f>SUM(Research!G27+Instruction!G27+Extension!G27)</f>
        <v>0</v>
      </c>
      <c r="H27" s="2">
        <f>SUM(Research!H27+Instruction!H27+Extension!H27)</f>
        <v>0</v>
      </c>
      <c r="I27" s="2">
        <f>SUM(Research!I27+Instruction!I27+Extension!I27)</f>
        <v>0</v>
      </c>
      <c r="J27" s="2">
        <f>SUM(Research!J27+Instruction!J27+Extension!J27)</f>
        <v>0</v>
      </c>
      <c r="K27" s="7">
        <f>Research!K27+Instruction!K27</f>
        <v>87785</v>
      </c>
      <c r="L27" s="7">
        <f>Research!L27+Instruction!L27+Extension!K27</f>
        <v>87785</v>
      </c>
      <c r="M27" s="7">
        <f>1455</f>
        <v>1455</v>
      </c>
      <c r="N27" s="2">
        <f>SUM(Research!N27+Instruction!N27+Extension!M27)</f>
        <v>0</v>
      </c>
      <c r="O27" s="2">
        <f>SUM(Research!O27+Instruction!O27+Extension!N27)</f>
        <v>0</v>
      </c>
      <c r="P27" s="2">
        <f>SUM(Research!P27+Instruction!P27+Extension!O27)</f>
        <v>0</v>
      </c>
      <c r="Q27" s="7">
        <f>L27+N27+O27+P27</f>
        <v>87785</v>
      </c>
      <c r="R27" s="2">
        <v>1455</v>
      </c>
    </row>
    <row r="28" spans="1:19" outlineLevel="1" x14ac:dyDescent="0.2">
      <c r="A28" s="15" t="s">
        <v>38</v>
      </c>
      <c r="B28" s="2">
        <f>SUM(Research!B28+Instruction!B28+Extension!B28)</f>
        <v>142937.60999999999</v>
      </c>
      <c r="C28" s="2">
        <f>SUM(Research!C28+Instruction!C28+Extension!C28)</f>
        <v>20263.849999999999</v>
      </c>
      <c r="D28" s="2">
        <f>SUM(Research!D28+Instruction!D28+Extension!D28)</f>
        <v>52462.239999999998</v>
      </c>
      <c r="E28" s="2">
        <f>SUM(Research!E28+Instruction!E28+Extension!E28)</f>
        <v>0</v>
      </c>
      <c r="F28" s="2">
        <f>SUM(Research!F28+Instruction!F28+Extension!F28)</f>
        <v>9213.9</v>
      </c>
      <c r="G28" s="2">
        <f>SUM(Research!G28+Instruction!G28+Extension!G28)</f>
        <v>77372.73</v>
      </c>
      <c r="H28" s="2">
        <f>SUM(Research!H28+Instruction!H28+Extension!H28)</f>
        <v>145532.39000000001</v>
      </c>
      <c r="I28" s="2">
        <f>SUM(Research!I28+Instruction!I28+Extension!I28)</f>
        <v>20817.25</v>
      </c>
      <c r="J28" s="2">
        <f>SUM(Research!J28+Instruction!J28+Extension!J28)</f>
        <v>0</v>
      </c>
      <c r="K28" s="7">
        <f>Research!K28+Instruction!K28</f>
        <v>0</v>
      </c>
      <c r="L28" s="7">
        <f>SUM(B28:K28)</f>
        <v>468599.97</v>
      </c>
      <c r="M28" s="7">
        <f>66476+5526+24757+54007+177198+29+26448</f>
        <v>354441</v>
      </c>
      <c r="N28" s="2">
        <f>SUM(Research!N28+Instruction!N28+Extension!M28)</f>
        <v>0</v>
      </c>
      <c r="O28" s="2">
        <f>SUM(Research!O28+Instruction!O28+Extension!N28)</f>
        <v>0</v>
      </c>
      <c r="P28" s="2">
        <f>SUM(Research!P28+Instruction!P28+Extension!O28)</f>
        <v>27689.22</v>
      </c>
      <c r="Q28" s="7">
        <f>L28+N28+O28+P28</f>
        <v>496289.18999999994</v>
      </c>
      <c r="R28" s="2">
        <v>540080</v>
      </c>
    </row>
    <row r="29" spans="1:19" x14ac:dyDescent="0.2">
      <c r="Q29" s="7"/>
    </row>
    <row r="30" spans="1:19" x14ac:dyDescent="0.2">
      <c r="A30" s="1" t="s">
        <v>27</v>
      </c>
      <c r="B30" s="2">
        <f>SUM(Research!B30+Instruction!B30+Extension!B30)</f>
        <v>-24425.38</v>
      </c>
      <c r="C30" s="2">
        <f>SUM(Research!C30+Instruction!C30+Extension!C30)</f>
        <v>10220187.15</v>
      </c>
      <c r="D30" s="2">
        <f>SUM(Research!D30+Instruction!D30+Extension!D30)</f>
        <v>0</v>
      </c>
      <c r="E30" s="2">
        <f>SUM(Research!E30+Instruction!E30+Extension!E30)</f>
        <v>0</v>
      </c>
      <c r="F30" s="2">
        <f>SUM(Research!F30+Instruction!F30+Extension!F30)</f>
        <v>0</v>
      </c>
      <c r="G30" s="2">
        <f>SUM(Research!G30+Instruction!G30+Extension!G30)</f>
        <v>0</v>
      </c>
      <c r="H30" s="2">
        <f>SUM(Research!H30+Instruction!H30+Extension!H30)</f>
        <v>0</v>
      </c>
      <c r="I30" s="2">
        <f>SUM(Research!I30+Instruction!I30+Extension!I30)</f>
        <v>143449.54</v>
      </c>
      <c r="J30" s="2">
        <f>SUM(Research!J30+Instruction!J30+Extension!J30)</f>
        <v>0</v>
      </c>
      <c r="K30" s="7">
        <f>Research!K30+Instruction!K30</f>
        <v>0</v>
      </c>
      <c r="L30" s="7">
        <f>SUM(B30:K30)</f>
        <v>10339211.309999999</v>
      </c>
      <c r="M30" s="2">
        <f>-4663+7385710</f>
        <v>7381047</v>
      </c>
      <c r="N30" s="2">
        <f>SUM(Research!N30+Instruction!N30+Extension!M30)</f>
        <v>0</v>
      </c>
      <c r="O30" s="2">
        <f>SUM(Research!O30+Instruction!O30+Extension!N30)</f>
        <v>0</v>
      </c>
      <c r="P30" s="2">
        <f>SUM(Research!P30+Instruction!P30+Extension!O30)</f>
        <v>0</v>
      </c>
      <c r="Q30" s="7">
        <f>L30+N30+O30+P30</f>
        <v>10339211.309999999</v>
      </c>
      <c r="R30" s="2">
        <v>7381047</v>
      </c>
      <c r="S30" s="43"/>
    </row>
    <row r="31" spans="1:19" x14ac:dyDescent="0.2">
      <c r="A31" s="1"/>
      <c r="Q31" s="7"/>
    </row>
    <row r="32" spans="1:19" s="39" customFormat="1" x14ac:dyDescent="0.2">
      <c r="A32" s="38" t="s">
        <v>72</v>
      </c>
      <c r="B32" s="39">
        <f t="shared" ref="B32:M32" si="4">((B18+B23+B28)/(B16+B17+B21+B22+B26+B27))</f>
        <v>5.5811424720324361E-2</v>
      </c>
      <c r="C32" s="39">
        <f t="shared" si="4"/>
        <v>0.14568391283036991</v>
      </c>
      <c r="D32" s="39">
        <f t="shared" si="4"/>
        <v>0.22461244202441505</v>
      </c>
      <c r="E32" s="39">
        <f t="shared" si="4"/>
        <v>0.24552484700003957</v>
      </c>
      <c r="F32" s="39">
        <f t="shared" si="4"/>
        <v>3.94785050935492E-2</v>
      </c>
      <c r="G32" s="39">
        <f t="shared" si="4"/>
        <v>0.19590154489974429</v>
      </c>
      <c r="H32" s="39">
        <f t="shared" si="4"/>
        <v>0.19008500351355442</v>
      </c>
      <c r="I32" s="39">
        <f t="shared" si="4"/>
        <v>0.2421411658296401</v>
      </c>
      <c r="J32" s="39">
        <v>0</v>
      </c>
      <c r="K32" s="39">
        <f t="shared" si="4"/>
        <v>6.8202829561740078E-2</v>
      </c>
      <c r="L32" s="39">
        <f t="shared" si="4"/>
        <v>0.14962018324706275</v>
      </c>
      <c r="M32" s="39">
        <f t="shared" si="4"/>
        <v>0.16786350055641402</v>
      </c>
      <c r="N32" s="39">
        <f>((N18+N23+N28)/(N16+N17+N21+N22+N26+N27))</f>
        <v>0.16552776683575318</v>
      </c>
      <c r="O32" s="39">
        <f>((O18+O23+O28)/(O16+O17+O21+O22+O26+O27))</f>
        <v>5.6132314657483279E-2</v>
      </c>
      <c r="P32" s="39">
        <f>((P18+P23+P28)/(P16+P17+P21+P22+P26+P27))</f>
        <v>0.1342344664418158</v>
      </c>
      <c r="Q32" s="39">
        <f>((Q18+Q23+Q28)/(Q16+Q17+Q21+Q22+Q26+Q27))</f>
        <v>0.13078958731618684</v>
      </c>
      <c r="R32" s="39">
        <v>0.1641</v>
      </c>
      <c r="S32" s="40"/>
    </row>
    <row r="33" spans="1:18" x14ac:dyDescent="0.2">
      <c r="B33" s="9"/>
      <c r="C33" s="9"/>
      <c r="D33" s="9"/>
      <c r="E33" s="9"/>
      <c r="F33" s="9"/>
      <c r="G33" s="9"/>
      <c r="H33" s="9"/>
      <c r="I33" s="9"/>
      <c r="J33" s="9"/>
      <c r="K33" s="9"/>
      <c r="L33" s="9"/>
      <c r="M33" s="9"/>
      <c r="N33" s="9"/>
      <c r="O33" s="9"/>
      <c r="P33" s="9"/>
      <c r="Q33" s="9"/>
      <c r="R33" s="9"/>
    </row>
    <row r="34" spans="1:18" ht="12" thickBot="1" x14ac:dyDescent="0.25">
      <c r="A34" s="8" t="s">
        <v>7</v>
      </c>
      <c r="B34" s="10">
        <f t="shared" ref="B34:R34" si="5">+B30+B25+B20+B15+B8</f>
        <v>19650336.758678239</v>
      </c>
      <c r="C34" s="10">
        <f t="shared" si="5"/>
        <v>98932053.788113654</v>
      </c>
      <c r="D34" s="10">
        <f t="shared" si="5"/>
        <v>28097570.57531824</v>
      </c>
      <c r="E34" s="10">
        <f t="shared" si="5"/>
        <v>6354075.6818776811</v>
      </c>
      <c r="F34" s="10">
        <f t="shared" si="5"/>
        <v>7454232.8317731395</v>
      </c>
      <c r="G34" s="10">
        <f t="shared" si="5"/>
        <v>26239967.070950251</v>
      </c>
      <c r="H34" s="10">
        <f t="shared" si="5"/>
        <v>10124420.9708522</v>
      </c>
      <c r="I34" s="10">
        <f t="shared" si="5"/>
        <v>18064841.6964105</v>
      </c>
      <c r="J34" s="10">
        <f t="shared" si="5"/>
        <v>926545.59000000008</v>
      </c>
      <c r="K34" s="10">
        <f t="shared" si="5"/>
        <v>12160048.739999998</v>
      </c>
      <c r="L34" s="10">
        <f t="shared" si="5"/>
        <v>228004093.70397389</v>
      </c>
      <c r="M34" s="10">
        <f t="shared" si="5"/>
        <v>225016135</v>
      </c>
      <c r="N34" s="10">
        <f>+N30+N25+N20+N15+N8</f>
        <v>3860783.0494113597</v>
      </c>
      <c r="O34" s="10">
        <f>+O30+O25+O20+O15+O8</f>
        <v>25919017.680255242</v>
      </c>
      <c r="P34" s="10">
        <f>+P30+P25+P20+P15+P8</f>
        <v>11511862.60577378</v>
      </c>
      <c r="Q34" s="10">
        <f t="shared" si="5"/>
        <v>269295757.03941429</v>
      </c>
      <c r="R34" s="10">
        <f t="shared" si="5"/>
        <v>251367472</v>
      </c>
    </row>
    <row r="35" spans="1:18" ht="12" thickTop="1" x14ac:dyDescent="0.2"/>
    <row r="36" spans="1:18" x14ac:dyDescent="0.2">
      <c r="A36" s="8"/>
    </row>
    <row r="38" spans="1:18" x14ac:dyDescent="0.2">
      <c r="B38" s="26"/>
      <c r="C38" s="12"/>
      <c r="D38" s="12"/>
      <c r="E38" s="12"/>
      <c r="F38" s="12"/>
      <c r="G38" s="12"/>
      <c r="H38" s="12"/>
      <c r="N38" s="12"/>
    </row>
    <row r="39" spans="1:18" x14ac:dyDescent="0.2">
      <c r="B39" s="12"/>
      <c r="C39" s="12"/>
      <c r="D39" s="12"/>
      <c r="E39" s="12"/>
      <c r="F39" s="12"/>
      <c r="G39" s="12"/>
      <c r="H39" s="12"/>
      <c r="N39" s="12"/>
    </row>
    <row r="40" spans="1:18" x14ac:dyDescent="0.2">
      <c r="B40" s="12"/>
      <c r="C40" s="12"/>
      <c r="D40" s="12"/>
      <c r="E40" s="12"/>
      <c r="F40" s="12"/>
      <c r="G40" s="12"/>
      <c r="H40" s="12"/>
      <c r="N40" s="12"/>
    </row>
    <row r="41" spans="1:18" x14ac:dyDescent="0.2">
      <c r="B41" s="12"/>
      <c r="C41" s="12"/>
      <c r="D41" s="12"/>
      <c r="E41" s="12"/>
      <c r="F41" s="12"/>
      <c r="G41" s="12"/>
      <c r="H41" s="12"/>
      <c r="N41" s="12"/>
    </row>
    <row r="42" spans="1:18" x14ac:dyDescent="0.2">
      <c r="B42" s="12"/>
      <c r="C42" s="12"/>
      <c r="D42" s="12"/>
      <c r="E42" s="12"/>
      <c r="F42" s="12"/>
      <c r="G42" s="12"/>
      <c r="H42" s="12"/>
      <c r="N42" s="12"/>
    </row>
    <row r="43" spans="1:18" ht="10.5" hidden="1" customHeight="1" x14ac:dyDescent="0.2">
      <c r="A43" s="2" t="s">
        <v>34</v>
      </c>
      <c r="B43" s="2" t="s">
        <v>34</v>
      </c>
    </row>
    <row r="44" spans="1:18" hidden="1" x14ac:dyDescent="0.2">
      <c r="J44" s="12"/>
      <c r="K44" s="12"/>
      <c r="L44" s="12"/>
      <c r="M44" s="12"/>
      <c r="O44" s="12"/>
      <c r="P44" s="12"/>
      <c r="Q44" s="12"/>
      <c r="R44" s="12"/>
    </row>
    <row r="45" spans="1:18" hidden="1" x14ac:dyDescent="0.2">
      <c r="J45" s="12"/>
      <c r="K45" s="12"/>
      <c r="L45" s="12"/>
      <c r="M45" s="12"/>
      <c r="O45" s="12"/>
      <c r="P45" s="12"/>
      <c r="Q45" s="12"/>
      <c r="R45" s="12"/>
    </row>
    <row r="46" spans="1:18" hidden="1" x14ac:dyDescent="0.2">
      <c r="O46" s="8" t="s">
        <v>49</v>
      </c>
      <c r="Q46" s="27" t="s">
        <v>50</v>
      </c>
      <c r="R46" s="27" t="s">
        <v>51</v>
      </c>
    </row>
    <row r="47" spans="1:18" hidden="1" x14ac:dyDescent="0.2">
      <c r="O47" s="8"/>
      <c r="Q47" s="27" t="s">
        <v>52</v>
      </c>
      <c r="R47" s="27" t="s">
        <v>53</v>
      </c>
    </row>
    <row r="48" spans="1:18" hidden="1" x14ac:dyDescent="0.2"/>
    <row r="49" spans="1:18" hidden="1" x14ac:dyDescent="0.2">
      <c r="J49" s="12"/>
      <c r="K49" s="12"/>
      <c r="L49" s="12"/>
      <c r="M49" s="12"/>
      <c r="O49" s="2" t="s">
        <v>54</v>
      </c>
      <c r="P49" s="12"/>
      <c r="Q49" s="2">
        <f>Research!Q49+Extension!P49</f>
        <v>137596691.73000002</v>
      </c>
      <c r="R49" s="2">
        <f>Research!R49+Extension!Q49</f>
        <v>151429014.32999998</v>
      </c>
    </row>
    <row r="50" spans="1:18" hidden="1" x14ac:dyDescent="0.2">
      <c r="J50" s="12"/>
      <c r="K50" s="12"/>
      <c r="L50" s="12"/>
      <c r="M50" s="12"/>
      <c r="O50" s="2" t="s">
        <v>55</v>
      </c>
      <c r="P50" s="12"/>
      <c r="Q50" s="2">
        <f>Research!Q50+Instruction!Q50+Extension!P50</f>
        <v>100865290.27000001</v>
      </c>
      <c r="R50" s="2">
        <f>Research!R50+Instruction!R50+Extension!Q50</f>
        <v>102587226.22</v>
      </c>
    </row>
    <row r="51" spans="1:18" hidden="1" x14ac:dyDescent="0.2">
      <c r="J51" s="12"/>
      <c r="K51" s="12"/>
      <c r="L51" s="12"/>
      <c r="M51" s="12"/>
      <c r="P51" s="12"/>
    </row>
    <row r="52" spans="1:18" ht="12" hidden="1" thickBot="1" x14ac:dyDescent="0.25">
      <c r="J52" s="12"/>
      <c r="K52" s="12"/>
      <c r="L52" s="12"/>
      <c r="M52" s="12"/>
      <c r="O52" s="2" t="s">
        <v>56</v>
      </c>
      <c r="P52" s="12"/>
      <c r="Q52" s="10">
        <f>+Q49+Q50</f>
        <v>238461982.00000003</v>
      </c>
      <c r="R52" s="10">
        <f>+R49+R50</f>
        <v>254016240.54999998</v>
      </c>
    </row>
    <row r="53" spans="1:18" ht="12" hidden="1" thickTop="1" x14ac:dyDescent="0.2">
      <c r="J53" s="12"/>
      <c r="K53" s="12"/>
      <c r="L53" s="12"/>
      <c r="M53" s="12"/>
      <c r="P53" s="12"/>
    </row>
    <row r="54" spans="1:18" hidden="1" x14ac:dyDescent="0.2">
      <c r="A54" s="11"/>
      <c r="B54" s="12"/>
      <c r="C54" s="12"/>
      <c r="D54" s="12"/>
      <c r="E54" s="12"/>
      <c r="F54" s="12"/>
      <c r="G54" s="12"/>
      <c r="H54" s="12"/>
      <c r="I54" s="12"/>
      <c r="N54" s="12"/>
      <c r="O54" s="15" t="s">
        <v>35</v>
      </c>
      <c r="Q54" s="2">
        <f>Q12</f>
        <v>15685704.9294143</v>
      </c>
      <c r="R54" s="2">
        <f>Q12</f>
        <v>15685704.9294143</v>
      </c>
    </row>
    <row r="55" spans="1:18" hidden="1" x14ac:dyDescent="0.2">
      <c r="A55" s="11"/>
      <c r="B55" s="12"/>
      <c r="C55" s="12"/>
      <c r="D55" s="12"/>
      <c r="E55" s="12"/>
      <c r="F55" s="12"/>
      <c r="G55" s="12"/>
      <c r="H55" s="12"/>
      <c r="I55" s="12"/>
      <c r="N55" s="12"/>
      <c r="O55" s="15" t="s">
        <v>36</v>
      </c>
    </row>
    <row r="56" spans="1:18" hidden="1" x14ac:dyDescent="0.2">
      <c r="B56" s="12"/>
      <c r="C56" s="12"/>
      <c r="D56" s="12"/>
      <c r="E56" s="12"/>
      <c r="F56" s="12"/>
      <c r="G56" s="12"/>
      <c r="H56" s="12"/>
      <c r="I56" s="12"/>
      <c r="N56" s="12"/>
      <c r="O56" s="15" t="s">
        <v>38</v>
      </c>
      <c r="Q56" s="2">
        <f>Q18+Q23+Q28</f>
        <v>13172197.929999998</v>
      </c>
      <c r="R56" s="2">
        <f>Q18+Q23+Q28</f>
        <v>13172197.929999998</v>
      </c>
    </row>
    <row r="57" spans="1:18" hidden="1" x14ac:dyDescent="0.2">
      <c r="B57" s="12"/>
      <c r="C57" s="12"/>
      <c r="D57" s="12"/>
      <c r="E57" s="12"/>
      <c r="F57" s="12"/>
      <c r="G57" s="12"/>
      <c r="H57" s="12"/>
      <c r="I57" s="12"/>
      <c r="J57" s="12"/>
      <c r="K57" s="12"/>
      <c r="L57" s="12"/>
      <c r="M57" s="12"/>
      <c r="N57" s="12"/>
      <c r="O57" s="15" t="s">
        <v>37</v>
      </c>
      <c r="P57" s="12"/>
      <c r="Q57" s="2">
        <f>Q13</f>
        <v>1391981.2999999998</v>
      </c>
      <c r="R57" s="2">
        <f>Q13</f>
        <v>1391981.2999999998</v>
      </c>
    </row>
    <row r="58" spans="1:18" hidden="1" x14ac:dyDescent="0.2">
      <c r="B58" s="12"/>
      <c r="C58" s="12"/>
      <c r="D58" s="12"/>
      <c r="E58" s="12"/>
      <c r="F58" s="12"/>
      <c r="G58" s="12"/>
      <c r="H58" s="12"/>
      <c r="I58" s="12"/>
      <c r="N58" s="12"/>
      <c r="O58" s="2" t="s">
        <v>57</v>
      </c>
      <c r="Q58" s="2">
        <f>Instruction!Q58</f>
        <v>583890.88</v>
      </c>
      <c r="R58" s="2">
        <f>Instruction!Q58</f>
        <v>583890.88</v>
      </c>
    </row>
    <row r="59" spans="1:18" hidden="1" x14ac:dyDescent="0.2">
      <c r="B59" s="12"/>
      <c r="C59" s="12"/>
      <c r="D59" s="12"/>
      <c r="E59" s="12"/>
      <c r="F59" s="12"/>
      <c r="G59" s="12"/>
      <c r="H59" s="12"/>
      <c r="I59" s="12"/>
      <c r="J59" s="12"/>
      <c r="K59" s="12"/>
      <c r="L59" s="12"/>
      <c r="M59" s="12"/>
      <c r="N59" s="12"/>
      <c r="O59" s="2" t="s">
        <v>58</v>
      </c>
      <c r="P59" s="12"/>
      <c r="Q59" s="2">
        <f>Research!Q58+Instruction!Q59+Extension!P58</f>
        <v>0</v>
      </c>
      <c r="R59" s="2">
        <f>Research!R58+Instruction!R59+Extension!Q58</f>
        <v>0</v>
      </c>
    </row>
    <row r="60" spans="1:18" hidden="1" x14ac:dyDescent="0.2">
      <c r="B60" s="12"/>
      <c r="C60" s="12"/>
      <c r="D60" s="12"/>
      <c r="E60" s="12"/>
      <c r="F60" s="12"/>
      <c r="G60" s="12"/>
      <c r="H60" s="12"/>
      <c r="I60" s="12"/>
      <c r="J60" s="12"/>
      <c r="K60" s="12"/>
      <c r="L60" s="12"/>
      <c r="M60" s="12"/>
      <c r="N60" s="12"/>
      <c r="O60" s="2" t="s">
        <v>59</v>
      </c>
      <c r="P60" s="12"/>
      <c r="R60" s="2">
        <f>Research!R59+Instruction!R60+Extension!Q59</f>
        <v>0</v>
      </c>
    </row>
    <row r="61" spans="1:18" hidden="1" x14ac:dyDescent="0.2">
      <c r="J61" s="12"/>
      <c r="K61" s="12"/>
      <c r="L61" s="12"/>
      <c r="M61" s="12"/>
      <c r="O61" s="2" t="s">
        <v>74</v>
      </c>
      <c r="P61" s="12"/>
      <c r="R61" s="2">
        <f>Research!R60</f>
        <v>0</v>
      </c>
    </row>
    <row r="62" spans="1:18" hidden="1" x14ac:dyDescent="0.2">
      <c r="J62" s="12"/>
      <c r="K62" s="12"/>
      <c r="L62" s="12"/>
      <c r="M62" s="12"/>
      <c r="O62" s="2" t="s">
        <v>71</v>
      </c>
      <c r="P62" s="12"/>
      <c r="R62" s="2">
        <f>Research!R61+Extension!Q60</f>
        <v>0</v>
      </c>
    </row>
    <row r="63" spans="1:18" hidden="1" x14ac:dyDescent="0.2">
      <c r="J63" s="12"/>
      <c r="K63" s="12"/>
      <c r="L63" s="12"/>
      <c r="M63" s="12"/>
      <c r="O63" s="2" t="s">
        <v>60</v>
      </c>
      <c r="P63" s="12"/>
      <c r="Q63" s="2">
        <f>Research!Q62+Extension!P61</f>
        <v>0</v>
      </c>
      <c r="R63" s="2">
        <f>Research!R62+Extension!Q61</f>
        <v>0</v>
      </c>
    </row>
    <row r="64" spans="1:18" hidden="1" x14ac:dyDescent="0.2">
      <c r="J64" s="12"/>
      <c r="K64" s="12"/>
      <c r="L64" s="12"/>
      <c r="M64" s="12"/>
      <c r="P64" s="12"/>
    </row>
    <row r="65" spans="10:18" ht="12" hidden="1" thickBot="1" x14ac:dyDescent="0.25">
      <c r="J65" s="12"/>
      <c r="K65" s="12"/>
      <c r="L65" s="12"/>
      <c r="M65" s="12"/>
      <c r="O65" s="2" t="s">
        <v>61</v>
      </c>
      <c r="P65" s="12"/>
      <c r="Q65" s="10">
        <f>SUM(Q52:Q63)</f>
        <v>269295757.03941435</v>
      </c>
      <c r="R65" s="10">
        <f>SUM(R52:R63)</f>
        <v>284850015.5894143</v>
      </c>
    </row>
    <row r="66" spans="10:18" ht="12" hidden="1" thickTop="1" x14ac:dyDescent="0.2">
      <c r="J66" s="12"/>
      <c r="K66" s="12"/>
      <c r="L66" s="12"/>
      <c r="M66" s="12"/>
      <c r="O66" s="12"/>
      <c r="P66" s="12"/>
    </row>
    <row r="67" spans="10:18" hidden="1" x14ac:dyDescent="0.2">
      <c r="J67" s="12"/>
      <c r="K67" s="12"/>
      <c r="L67" s="12"/>
      <c r="M67" s="12"/>
      <c r="O67" s="12"/>
      <c r="P67" s="12"/>
      <c r="Q67" s="2">
        <f>+Q34-Q65</f>
        <v>0</v>
      </c>
      <c r="R67" s="2">
        <f>Q65-R65</f>
        <v>-15554258.549999952</v>
      </c>
    </row>
    <row r="68" spans="10:18" hidden="1" x14ac:dyDescent="0.2">
      <c r="J68" s="12"/>
      <c r="K68" s="12"/>
      <c r="L68" s="12"/>
      <c r="M68" s="12"/>
      <c r="O68" s="12"/>
      <c r="P68" s="12"/>
      <c r="Q68" s="12"/>
      <c r="R68" s="12"/>
    </row>
    <row r="69" spans="10:18" hidden="1" x14ac:dyDescent="0.2">
      <c r="J69" s="12"/>
      <c r="K69" s="12"/>
      <c r="L69" s="12"/>
      <c r="M69" s="12"/>
      <c r="O69" s="12"/>
      <c r="P69" s="12"/>
      <c r="Q69" s="12"/>
      <c r="R69" s="12"/>
    </row>
    <row r="70" spans="10:18" hidden="1" x14ac:dyDescent="0.2"/>
    <row r="71" spans="10:18" hidden="1" x14ac:dyDescent="0.2"/>
    <row r="72" spans="10:18" hidden="1" x14ac:dyDescent="0.2"/>
    <row r="73" spans="10:18" hidden="1" x14ac:dyDescent="0.2"/>
  </sheetData>
  <phoneticPr fontId="2" type="noConversion"/>
  <printOptions horizontalCentered="1" verticalCentered="1"/>
  <pageMargins left="0" right="0" top="0.5" bottom="0.5" header="0.25" footer="0.25"/>
  <pageSetup scale="73" orientation="landscape" horizontalDpi="4294967292" r:id="rId1"/>
  <headerFooter alignWithMargins="0">
    <oddHeader>&amp;L11/04/15&amp;C&amp;F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S75"/>
  <sheetViews>
    <sheetView zoomScaleNormal="100" workbookViewId="0">
      <pane xSplit="1" ySplit="6" topLeftCell="B7" activePane="bottomRight" state="frozen"/>
      <selection activeCell="O2" sqref="O2"/>
      <selection pane="topRight" activeCell="O2" sqref="O2"/>
      <selection pane="bottomLeft" activeCell="O2" sqref="O2"/>
      <selection pane="bottomRight" activeCell="K28" sqref="K28"/>
    </sheetView>
  </sheetViews>
  <sheetFormatPr defaultRowHeight="11.25" outlineLevelRow="1" x14ac:dyDescent="0.2"/>
  <cols>
    <col min="1" max="1" width="19" style="15" customWidth="1"/>
    <col min="2" max="2" width="10.5703125" style="15" customWidth="1"/>
    <col min="3" max="3" width="10.85546875" style="15" customWidth="1"/>
    <col min="4" max="4" width="10.5703125" style="15" customWidth="1"/>
    <col min="5" max="5" width="10.28515625" style="15" customWidth="1"/>
    <col min="6" max="6" width="9.7109375" style="15" customWidth="1"/>
    <col min="7" max="7" width="10.42578125" style="15" bestFit="1" customWidth="1"/>
    <col min="8" max="8" width="9.140625" style="15"/>
    <col min="9" max="9" width="10.140625" style="15" customWidth="1"/>
    <col min="10" max="10" width="9.140625" style="15"/>
    <col min="11" max="11" width="9.5703125" style="15" bestFit="1" customWidth="1"/>
    <col min="12" max="13" width="9.5703125" style="15" customWidth="1"/>
    <col min="14" max="14" width="9.140625" style="15"/>
    <col min="15" max="15" width="10.140625" style="15" customWidth="1"/>
    <col min="16" max="16" width="8.5703125" style="15" bestFit="1" customWidth="1"/>
    <col min="17" max="17" width="10.42578125" style="15" bestFit="1" customWidth="1"/>
    <col min="18" max="18" width="10.85546875" style="15" bestFit="1" customWidth="1"/>
    <col min="19" max="16384" width="9.140625" style="15"/>
  </cols>
  <sheetData>
    <row r="1" spans="1:19" x14ac:dyDescent="0.2">
      <c r="A1" s="8" t="s">
        <v>82</v>
      </c>
      <c r="H1" s="13"/>
      <c r="S1" s="32" t="s">
        <v>43</v>
      </c>
    </row>
    <row r="2" spans="1:19" x14ac:dyDescent="0.2">
      <c r="A2" s="14" t="s">
        <v>33</v>
      </c>
    </row>
    <row r="3" spans="1:19" x14ac:dyDescent="0.2">
      <c r="S3" s="28" t="s">
        <v>34</v>
      </c>
    </row>
    <row r="4" spans="1:19" x14ac:dyDescent="0.2">
      <c r="A4" s="14" t="s">
        <v>40</v>
      </c>
      <c r="B4" s="16"/>
      <c r="C4" s="16"/>
      <c r="D4" s="16"/>
      <c r="E4" s="16"/>
      <c r="F4" s="16"/>
      <c r="G4" s="16"/>
      <c r="H4" s="16" t="s">
        <v>1</v>
      </c>
      <c r="I4" s="16"/>
      <c r="J4" s="16"/>
      <c r="K4" s="16"/>
      <c r="L4" s="37" t="s">
        <v>77</v>
      </c>
      <c r="M4" s="37" t="s">
        <v>75</v>
      </c>
      <c r="N4" s="16"/>
      <c r="O4" s="16"/>
      <c r="P4" s="16" t="s">
        <v>29</v>
      </c>
      <c r="Q4" s="37" t="s">
        <v>77</v>
      </c>
      <c r="R4" s="37" t="s">
        <v>75</v>
      </c>
    </row>
    <row r="5" spans="1:19" x14ac:dyDescent="0.2">
      <c r="B5" s="16" t="s">
        <v>2</v>
      </c>
      <c r="C5" s="16"/>
      <c r="D5" s="16" t="s">
        <v>3</v>
      </c>
      <c r="E5" s="16"/>
      <c r="F5" s="16"/>
      <c r="G5" s="16"/>
      <c r="H5" s="16" t="s">
        <v>4</v>
      </c>
      <c r="I5" s="16" t="s">
        <v>5</v>
      </c>
      <c r="J5" s="16"/>
      <c r="K5" s="16"/>
      <c r="L5" s="37" t="s">
        <v>81</v>
      </c>
      <c r="M5" s="37" t="s">
        <v>81</v>
      </c>
      <c r="N5" s="16"/>
      <c r="O5" s="16" t="s">
        <v>6</v>
      </c>
      <c r="P5" s="16" t="s">
        <v>30</v>
      </c>
      <c r="Q5" s="16" t="s">
        <v>48</v>
      </c>
      <c r="R5" s="16" t="s">
        <v>7</v>
      </c>
    </row>
    <row r="6" spans="1:19" x14ac:dyDescent="0.2">
      <c r="B6" s="17" t="s">
        <v>8</v>
      </c>
      <c r="C6" s="17" t="s">
        <v>9</v>
      </c>
      <c r="D6" s="17" t="s">
        <v>10</v>
      </c>
      <c r="E6" s="17" t="s">
        <v>11</v>
      </c>
      <c r="F6" s="17" t="s">
        <v>12</v>
      </c>
      <c r="G6" s="17" t="s">
        <v>13</v>
      </c>
      <c r="H6" s="17" t="s">
        <v>10</v>
      </c>
      <c r="I6" s="17" t="s">
        <v>15</v>
      </c>
      <c r="J6" s="16" t="s">
        <v>26</v>
      </c>
      <c r="K6" s="37" t="s">
        <v>78</v>
      </c>
      <c r="L6" s="37" t="s">
        <v>80</v>
      </c>
      <c r="M6" s="37" t="s">
        <v>80</v>
      </c>
      <c r="N6" s="17" t="s">
        <v>14</v>
      </c>
      <c r="O6" s="17" t="s">
        <v>16</v>
      </c>
      <c r="P6" s="17" t="s">
        <v>10</v>
      </c>
      <c r="Q6" s="30" t="s">
        <v>8</v>
      </c>
      <c r="R6" s="17" t="s">
        <v>8</v>
      </c>
    </row>
    <row r="7" spans="1:19" s="19" customFormat="1" x14ac:dyDescent="0.2">
      <c r="A7" s="5" t="s">
        <v>17</v>
      </c>
      <c r="B7" s="18"/>
      <c r="C7" s="18"/>
      <c r="D7" s="18"/>
      <c r="E7" s="18"/>
      <c r="F7" s="18"/>
      <c r="G7" s="18"/>
      <c r="H7" s="18"/>
      <c r="I7" s="18"/>
      <c r="J7" s="18"/>
      <c r="K7" s="18"/>
      <c r="L7" s="18"/>
      <c r="M7" s="18"/>
      <c r="N7" s="18"/>
      <c r="O7" s="18"/>
      <c r="P7" s="18"/>
      <c r="Q7" s="18"/>
    </row>
    <row r="8" spans="1:19" ht="11.25" customHeight="1" x14ac:dyDescent="0.2">
      <c r="A8" s="8" t="s">
        <v>18</v>
      </c>
      <c r="B8" s="15">
        <f>SUM(B9:B13)-0.4</f>
        <v>2778415.93591158</v>
      </c>
      <c r="C8" s="15">
        <f>SUM(C9:C13)</f>
        <v>35505066.076287203</v>
      </c>
      <c r="D8" s="15">
        <f>SUM(D9:D13)</f>
        <v>17246677.611249506</v>
      </c>
      <c r="E8" s="15">
        <f>SUM(E9:E13)</f>
        <v>5991463.1344764</v>
      </c>
      <c r="F8" s="15">
        <f>SUM(F9:F13)</f>
        <v>1327237.5303214001</v>
      </c>
      <c r="G8" s="15">
        <f>SUM(G9:G13)</f>
        <v>8019221.8710926203</v>
      </c>
      <c r="H8" s="15">
        <f>ROUND(SUM(H9:H13),0)</f>
        <v>2524604</v>
      </c>
      <c r="I8" s="15">
        <f>SUM(I9:I13)</f>
        <v>5874152.5836606296</v>
      </c>
      <c r="J8" s="15">
        <f>ROUND(SUM(J9:J13),0)</f>
        <v>809440</v>
      </c>
      <c r="K8" s="15">
        <f>ROUND(SUM(K9:K13),0)</f>
        <v>1516204</v>
      </c>
      <c r="L8" s="15">
        <f>ROUND(SUM(L9:L13),0)</f>
        <v>81592484</v>
      </c>
      <c r="M8" s="15">
        <f>ROUND(SUM(M9:M13),0)</f>
        <v>82536032</v>
      </c>
      <c r="N8" s="15">
        <f>SUM(N9:N13)</f>
        <v>0</v>
      </c>
      <c r="O8" s="15">
        <f>SUM(O9:O13)</f>
        <v>0</v>
      </c>
      <c r="P8" s="15">
        <f>ROUND(SUM(P9:P13),0)</f>
        <v>1049830</v>
      </c>
      <c r="Q8" s="15">
        <f>ROUND(SUM(Q9:Q13),0)</f>
        <v>82642314</v>
      </c>
      <c r="R8" s="15">
        <f>ROUND(SUM(R9:R13),0)</f>
        <v>85154067</v>
      </c>
    </row>
    <row r="9" spans="1:19" s="19" customFormat="1" ht="11.25" customHeight="1" outlineLevel="1" x14ac:dyDescent="0.2">
      <c r="A9" s="19" t="s">
        <v>19</v>
      </c>
      <c r="B9" s="19">
        <v>2351300.7999999998</v>
      </c>
      <c r="C9" s="19">
        <f>590784.83+25263675.66</f>
        <v>25854460.489999998</v>
      </c>
      <c r="D9" s="19">
        <v>15992443.01</v>
      </c>
      <c r="E9" s="19">
        <v>5942619.6900000004</v>
      </c>
      <c r="F9" s="19">
        <v>1054789.53</v>
      </c>
      <c r="G9" s="19">
        <v>6496157.2400000002</v>
      </c>
      <c r="H9" s="19">
        <v>1650667.11</v>
      </c>
      <c r="I9" s="19">
        <v>4730478.93</v>
      </c>
      <c r="J9" s="19">
        <v>721143.48</v>
      </c>
      <c r="K9" s="19">
        <v>1516204.38</v>
      </c>
      <c r="L9" s="19">
        <f>SUM(B9:K9)</f>
        <v>66310264.659999996</v>
      </c>
      <c r="M9" s="19">
        <f>5829360+25844125+16459548+3944183+235147+7295846+1523909+4699173+702885</f>
        <v>66534176</v>
      </c>
      <c r="P9" s="19">
        <v>799330.76</v>
      </c>
      <c r="Q9" s="19">
        <f>L9+N9+O9+P9</f>
        <v>67109595.420000002</v>
      </c>
      <c r="R9" s="19">
        <v>68730465</v>
      </c>
    </row>
    <row r="10" spans="1:19" s="19" customFormat="1" ht="11.25" customHeight="1" outlineLevel="1" x14ac:dyDescent="0.2">
      <c r="A10" s="19" t="s">
        <v>20</v>
      </c>
      <c r="B10" s="19">
        <f>64625.41+56500</f>
        <v>121125.41</v>
      </c>
      <c r="C10" s="19">
        <v>126753.68</v>
      </c>
      <c r="D10" s="19">
        <v>394801.6</v>
      </c>
      <c r="F10" s="19">
        <v>129571.4</v>
      </c>
      <c r="G10" s="19">
        <v>300716.78999999998</v>
      </c>
      <c r="H10" s="19">
        <v>73097.179999999993</v>
      </c>
      <c r="I10" s="19">
        <v>648557.53</v>
      </c>
      <c r="J10" s="19">
        <v>53287.040000000001</v>
      </c>
      <c r="L10" s="19">
        <f>SUM(B10:K10)</f>
        <v>1847910.63</v>
      </c>
      <c r="M10" s="19">
        <f>81178+823830+477529+173605+371726+48642+462122+50597</f>
        <v>2489229</v>
      </c>
      <c r="P10" s="19">
        <v>130466.04</v>
      </c>
      <c r="Q10" s="19">
        <f>L10+N10+O10+P10</f>
        <v>1978376.67</v>
      </c>
      <c r="R10" s="19">
        <v>2763215</v>
      </c>
    </row>
    <row r="11" spans="1:19" outlineLevel="1" x14ac:dyDescent="0.2">
      <c r="A11" s="15" t="s">
        <v>21</v>
      </c>
      <c r="C11" s="19">
        <v>7149478.1200000001</v>
      </c>
      <c r="L11" s="19">
        <f>SUM(B11:K11)</f>
        <v>7149478.1200000001</v>
      </c>
      <c r="M11" s="19">
        <f>7078480</f>
        <v>7078480</v>
      </c>
      <c r="P11" s="19"/>
      <c r="Q11" s="19">
        <f>L11+N11+O11+P11</f>
        <v>7149478.1200000001</v>
      </c>
      <c r="R11" s="15">
        <v>7078480</v>
      </c>
    </row>
    <row r="12" spans="1:19" outlineLevel="1" x14ac:dyDescent="0.2">
      <c r="A12" s="2" t="s">
        <v>79</v>
      </c>
      <c r="B12" s="15">
        <f>(B16+B17+B21+B22+B26+B27)*0.057914</f>
        <v>249909.24591157999</v>
      </c>
      <c r="C12" s="15">
        <f>(C16+C17+C21+C22+C26+C27)*0.206576</f>
        <v>2315686.6862872001</v>
      </c>
      <c r="D12" s="15">
        <f>(D16+D17+D21+D22+D26+D27)*0.090231</f>
        <v>676639.67124950991</v>
      </c>
      <c r="E12" s="15">
        <f>(E16+E17+E21+E22+E26+E27)*0.223716</f>
        <v>48843.444476400007</v>
      </c>
      <c r="F12" s="15">
        <f>(F16+F17+F21+F22+F26+F27)*0.320905</f>
        <v>82885.230321399999</v>
      </c>
      <c r="G12" s="15">
        <f>(G16+G17+G21+G22+G26+G27)*0.119043</f>
        <v>1083115.8710926198</v>
      </c>
      <c r="H12" s="15">
        <f>(H16+H17+H21+H22+H26+H27)*0.26684</f>
        <v>766996.19968440011</v>
      </c>
      <c r="I12" s="15">
        <f>(I16+I17+I21+I22+I26+I27)*0.043849</f>
        <v>194833.77366062999</v>
      </c>
      <c r="J12" s="15">
        <f>(J16+J17+J21+J22+J26+J27)*0.57914</f>
        <v>0</v>
      </c>
      <c r="K12" s="15">
        <v>0</v>
      </c>
      <c r="L12" s="19">
        <f>SUM(B12:K12)</f>
        <v>5418910.1226837393</v>
      </c>
      <c r="M12" s="19">
        <f>16175+49596+89850+10855+193398+2395365+648170+37638+161759+825757+652147+191110</f>
        <v>5271820</v>
      </c>
      <c r="N12" s="15">
        <f>(N16+N17+N21+N22+N26+N27)*0.57914</f>
        <v>0</v>
      </c>
      <c r="O12" s="15">
        <v>0</v>
      </c>
      <c r="P12" s="15">
        <f>(P16+P17+P21+P22+P26+P27)*0.11343</f>
        <v>83894.139250800014</v>
      </c>
      <c r="Q12" s="19">
        <f>L12+N12+O12+P12</f>
        <v>5502804.2619345393</v>
      </c>
      <c r="R12" s="15">
        <f>166476+5177208</f>
        <v>5343684</v>
      </c>
    </row>
    <row r="13" spans="1:19" outlineLevel="1" x14ac:dyDescent="0.2">
      <c r="A13" s="15" t="s">
        <v>37</v>
      </c>
      <c r="B13" s="15">
        <v>56080.88</v>
      </c>
      <c r="C13" s="15">
        <v>58687.1</v>
      </c>
      <c r="D13" s="15">
        <v>182793.33</v>
      </c>
      <c r="F13" s="15">
        <v>59991.37</v>
      </c>
      <c r="G13" s="15">
        <v>139231.97</v>
      </c>
      <c r="H13" s="15">
        <v>33843.910000000003</v>
      </c>
      <c r="I13" s="15">
        <v>300282.34999999998</v>
      </c>
      <c r="J13" s="15">
        <v>35009.56</v>
      </c>
      <c r="L13" s="19">
        <f>SUM(B13:K13)</f>
        <v>865920.47</v>
      </c>
      <c r="M13" s="19">
        <f>37585+381433+221096+80379+172109+22521+213962+33242</f>
        <v>1162327</v>
      </c>
      <c r="P13" s="19">
        <v>36139.08</v>
      </c>
      <c r="Q13" s="19">
        <f>L13+N13+O13+P13</f>
        <v>902059.54999999993</v>
      </c>
      <c r="R13" s="15">
        <v>1238223</v>
      </c>
    </row>
    <row r="15" spans="1:19" x14ac:dyDescent="0.2">
      <c r="A15" s="14" t="s">
        <v>25</v>
      </c>
      <c r="B15" s="15">
        <f t="shared" ref="B15:R15" si="0">SUM(B16:B18)</f>
        <v>65803.539999999994</v>
      </c>
      <c r="C15" s="15">
        <f t="shared" si="0"/>
        <v>2370663.41</v>
      </c>
      <c r="D15" s="15">
        <f t="shared" si="0"/>
        <v>1507348.8</v>
      </c>
      <c r="E15" s="15">
        <f t="shared" si="0"/>
        <v>182013.4</v>
      </c>
      <c r="F15" s="15">
        <f t="shared" si="0"/>
        <v>30994.120000000003</v>
      </c>
      <c r="G15" s="15">
        <f t="shared" si="0"/>
        <v>1088997.22</v>
      </c>
      <c r="H15" s="15">
        <f t="shared" si="0"/>
        <v>663561.67000000004</v>
      </c>
      <c r="I15" s="15">
        <f t="shared" si="0"/>
        <v>1208122.2</v>
      </c>
      <c r="J15" s="15">
        <f t="shared" si="0"/>
        <v>0</v>
      </c>
      <c r="K15" s="15">
        <f t="shared" si="0"/>
        <v>17087</v>
      </c>
      <c r="L15" s="15">
        <f t="shared" si="0"/>
        <v>7134591.3600000003</v>
      </c>
      <c r="M15" s="15">
        <f t="shared" si="0"/>
        <v>7044316</v>
      </c>
      <c r="N15" s="15">
        <f>SUM(N16:N18)</f>
        <v>0</v>
      </c>
      <c r="O15" s="15">
        <f>SUM(O16:O18)</f>
        <v>0</v>
      </c>
      <c r="P15" s="15">
        <f>SUM(P16:P18)</f>
        <v>95592.18</v>
      </c>
      <c r="Q15" s="15">
        <f t="shared" si="0"/>
        <v>7230183.54</v>
      </c>
      <c r="R15" s="15">
        <f t="shared" si="0"/>
        <v>7291224</v>
      </c>
    </row>
    <row r="16" spans="1:19" outlineLevel="1" x14ac:dyDescent="0.2">
      <c r="A16" s="15" t="s">
        <v>22</v>
      </c>
      <c r="B16" s="15">
        <v>65803.539999999994</v>
      </c>
      <c r="C16" s="15">
        <f>16756.36+2128432.97</f>
        <v>2145189.33</v>
      </c>
      <c r="D16" s="15">
        <v>1208454.02</v>
      </c>
      <c r="E16" s="15">
        <v>127458.88</v>
      </c>
      <c r="F16" s="15">
        <v>30262.83</v>
      </c>
      <c r="G16" s="15">
        <v>907778.5</v>
      </c>
      <c r="H16" s="15">
        <v>639977.12</v>
      </c>
      <c r="I16" s="15">
        <v>850097.07</v>
      </c>
      <c r="L16" s="19">
        <f>SUM(B16:K16)</f>
        <v>5975021.29</v>
      </c>
      <c r="M16" s="19">
        <f>38925+1805513+1561790+86822+18167+1066708+694264+696216</f>
        <v>5968405</v>
      </c>
      <c r="P16" s="19">
        <v>95592.18</v>
      </c>
      <c r="Q16" s="19">
        <f>L16+N16+O16+P16</f>
        <v>6070613.4699999997</v>
      </c>
      <c r="R16" s="15">
        <v>6182296</v>
      </c>
      <c r="S16" s="15" t="s">
        <v>34</v>
      </c>
    </row>
    <row r="17" spans="1:18" outlineLevel="1" x14ac:dyDescent="0.2">
      <c r="A17" s="15" t="s">
        <v>47</v>
      </c>
      <c r="K17" s="15">
        <f>15000+2087</f>
        <v>17087</v>
      </c>
      <c r="L17" s="19">
        <f>SUM(B17:K17)</f>
        <v>17087</v>
      </c>
      <c r="M17" s="19"/>
      <c r="P17" s="19"/>
      <c r="Q17" s="19">
        <f>L17+N17+O17+P17</f>
        <v>17087</v>
      </c>
      <c r="R17" s="15">
        <v>0</v>
      </c>
    </row>
    <row r="18" spans="1:18" outlineLevel="1" x14ac:dyDescent="0.2">
      <c r="A18" s="15" t="s">
        <v>38</v>
      </c>
      <c r="C18" s="15">
        <v>225474.08</v>
      </c>
      <c r="D18" s="15">
        <v>298894.78000000003</v>
      </c>
      <c r="E18" s="15">
        <v>54554.52</v>
      </c>
      <c r="F18" s="15">
        <v>731.29</v>
      </c>
      <c r="G18" s="15">
        <v>181218.72</v>
      </c>
      <c r="H18" s="15">
        <v>23584.55</v>
      </c>
      <c r="I18" s="15">
        <v>358025.13</v>
      </c>
      <c r="L18" s="19">
        <f>SUM(B18:K18)</f>
        <v>1142483.07</v>
      </c>
      <c r="M18" s="19">
        <f>173076+392487+35312+761+175862+27395+271018</f>
        <v>1075911</v>
      </c>
      <c r="P18" s="19"/>
      <c r="Q18" s="19">
        <f>L18+N18+O18+P18</f>
        <v>1142483.07</v>
      </c>
      <c r="R18" s="15">
        <v>1108928</v>
      </c>
    </row>
    <row r="19" spans="1:18" x14ac:dyDescent="0.2">
      <c r="Q19" s="19"/>
    </row>
    <row r="20" spans="1:18" x14ac:dyDescent="0.2">
      <c r="A20" s="14" t="s">
        <v>23</v>
      </c>
      <c r="B20" s="15">
        <f t="shared" ref="B20:R20" si="1">SUM(B21:B23)</f>
        <v>3992209.33</v>
      </c>
      <c r="C20" s="15">
        <f t="shared" si="1"/>
        <v>8749881.9299999997</v>
      </c>
      <c r="D20" s="15">
        <f t="shared" si="1"/>
        <v>7080728.0199999996</v>
      </c>
      <c r="E20" s="15">
        <f t="shared" si="1"/>
        <v>2141.8900000000003</v>
      </c>
      <c r="F20" s="15">
        <f t="shared" si="1"/>
        <v>143370.66999999998</v>
      </c>
      <c r="G20" s="15">
        <f t="shared" si="1"/>
        <v>9488747.5099999998</v>
      </c>
      <c r="H20" s="15">
        <f t="shared" si="1"/>
        <v>1373208.01</v>
      </c>
      <c r="I20" s="15">
        <f t="shared" si="1"/>
        <v>4320210.09</v>
      </c>
      <c r="J20" s="15">
        <f t="shared" si="1"/>
        <v>0</v>
      </c>
      <c r="K20" s="15">
        <f t="shared" si="1"/>
        <v>6309845</v>
      </c>
      <c r="L20" s="15">
        <f t="shared" si="1"/>
        <v>41460342.450000003</v>
      </c>
      <c r="M20" s="15">
        <f t="shared" si="1"/>
        <v>33741222</v>
      </c>
      <c r="N20" s="15">
        <f>SUM(N21:N23)</f>
        <v>0</v>
      </c>
      <c r="O20" s="15">
        <f>SUM(O21:O23)</f>
        <v>707423.79</v>
      </c>
      <c r="P20" s="15">
        <f>SUM(P21:P23)</f>
        <v>636870.78</v>
      </c>
      <c r="Q20" s="15">
        <f t="shared" si="1"/>
        <v>42804637.020000003</v>
      </c>
      <c r="R20" s="15">
        <f t="shared" si="1"/>
        <v>34062437</v>
      </c>
    </row>
    <row r="21" spans="1:18" outlineLevel="1" x14ac:dyDescent="0.2">
      <c r="A21" s="15" t="s">
        <v>22</v>
      </c>
      <c r="B21" s="15">
        <v>3724752.85</v>
      </c>
      <c r="C21" s="2">
        <f>20962.71+15709.93+7260985.05</f>
        <v>7297657.6899999995</v>
      </c>
      <c r="D21" s="15">
        <v>5541006.1699999999</v>
      </c>
      <c r="E21" s="15">
        <v>1293.4100000000001</v>
      </c>
      <c r="F21" s="15">
        <v>129218.12</v>
      </c>
      <c r="G21" s="15">
        <v>7578123.2599999998</v>
      </c>
      <c r="H21" s="15">
        <v>1109057.21</v>
      </c>
      <c r="I21" s="15">
        <v>3245574.42</v>
      </c>
      <c r="L21" s="19">
        <f>SUM(B21:K21)</f>
        <v>28626683.130000003</v>
      </c>
      <c r="M21" s="19">
        <f>3046980+8213085+5553965+26154+29917+5686150+976225+3528083</f>
        <v>27060559</v>
      </c>
      <c r="O21" s="15">
        <v>494087.5</v>
      </c>
      <c r="P21" s="19">
        <v>578470.38</v>
      </c>
      <c r="Q21" s="19">
        <f>L21+N21+O21+P21</f>
        <v>29699241.010000002</v>
      </c>
      <c r="R21" s="15">
        <v>27332516</v>
      </c>
    </row>
    <row r="22" spans="1:18" outlineLevel="1" x14ac:dyDescent="0.2">
      <c r="A22" s="15" t="s">
        <v>46</v>
      </c>
      <c r="K22" s="15">
        <v>6309845</v>
      </c>
      <c r="L22" s="19">
        <f>SUM(B22:K22)</f>
        <v>6309845</v>
      </c>
      <c r="M22" s="19">
        <v>-58250</v>
      </c>
      <c r="P22" s="19"/>
      <c r="Q22" s="19">
        <f>L22+N22+O22+P22</f>
        <v>6309845</v>
      </c>
      <c r="R22" s="15">
        <v>-58250</v>
      </c>
    </row>
    <row r="23" spans="1:18" outlineLevel="1" x14ac:dyDescent="0.2">
      <c r="A23" s="15" t="s">
        <v>38</v>
      </c>
      <c r="B23" s="15">
        <v>267456.48</v>
      </c>
      <c r="C23" s="15">
        <f>15041.81+5635.26+1431547.17</f>
        <v>1452224.24</v>
      </c>
      <c r="D23" s="15">
        <v>1539721.85</v>
      </c>
      <c r="E23" s="15">
        <v>848.48</v>
      </c>
      <c r="F23" s="15">
        <v>14152.55</v>
      </c>
      <c r="G23" s="15">
        <v>1910624.25</v>
      </c>
      <c r="H23" s="15">
        <v>264150.8</v>
      </c>
      <c r="I23" s="15">
        <v>1074635.67</v>
      </c>
      <c r="L23" s="19">
        <f>SUM(B23:K23)</f>
        <v>6523814.3199999994</v>
      </c>
      <c r="M23" s="19">
        <f>285485+1673051+1584132+11181+1862818+208899+1113347</f>
        <v>6738913</v>
      </c>
      <c r="O23" s="15">
        <v>213336.29</v>
      </c>
      <c r="P23" s="19">
        <v>58400.4</v>
      </c>
      <c r="Q23" s="19">
        <f>L23+N23+O23+P23</f>
        <v>6795551.0099999998</v>
      </c>
      <c r="R23" s="15">
        <v>6788171</v>
      </c>
    </row>
    <row r="24" spans="1:18" x14ac:dyDescent="0.2">
      <c r="R24" s="15" t="s">
        <v>34</v>
      </c>
    </row>
    <row r="25" spans="1:18" x14ac:dyDescent="0.2">
      <c r="A25" s="14" t="s">
        <v>24</v>
      </c>
      <c r="B25" s="15">
        <f t="shared" ref="B25:R25" si="2">SUM(B26:B28)</f>
        <v>524622.07999999996</v>
      </c>
      <c r="C25" s="15">
        <f t="shared" si="2"/>
        <v>1785857.02</v>
      </c>
      <c r="D25" s="15">
        <f t="shared" si="2"/>
        <v>804251.87</v>
      </c>
      <c r="E25" s="15">
        <f t="shared" si="2"/>
        <v>89575.61</v>
      </c>
      <c r="F25" s="15">
        <f t="shared" si="2"/>
        <v>108018.82999999999</v>
      </c>
      <c r="G25" s="15">
        <f t="shared" si="2"/>
        <v>612624.57999999996</v>
      </c>
      <c r="H25" s="15">
        <f t="shared" si="2"/>
        <v>1268334.52</v>
      </c>
      <c r="I25" s="15">
        <f t="shared" si="2"/>
        <v>368434.63</v>
      </c>
      <c r="J25" s="15">
        <f t="shared" si="2"/>
        <v>0</v>
      </c>
      <c r="K25" s="15">
        <f t="shared" si="2"/>
        <v>87785</v>
      </c>
      <c r="L25" s="15">
        <f t="shared" si="2"/>
        <v>5649504.1400000006</v>
      </c>
      <c r="M25" s="15">
        <f t="shared" si="2"/>
        <v>5363220</v>
      </c>
      <c r="N25" s="15">
        <f>SUM(N26:N28)</f>
        <v>0</v>
      </c>
      <c r="O25" s="15">
        <f>SUM(O26:O28)</f>
        <v>0</v>
      </c>
      <c r="P25" s="15">
        <f>SUM(P26:P28)</f>
        <v>65549</v>
      </c>
      <c r="Q25" s="15">
        <f t="shared" si="2"/>
        <v>5715053.1400000006</v>
      </c>
      <c r="R25" s="15">
        <f t="shared" si="2"/>
        <v>5510254</v>
      </c>
    </row>
    <row r="26" spans="1:18" outlineLevel="1" x14ac:dyDescent="0.2">
      <c r="A26" s="15" t="s">
        <v>22</v>
      </c>
      <c r="B26" s="15">
        <v>524622.07999999996</v>
      </c>
      <c r="C26" s="15">
        <v>1767006.43</v>
      </c>
      <c r="D26" s="15">
        <v>749511.02</v>
      </c>
      <c r="E26" s="15">
        <v>89575.61</v>
      </c>
      <c r="F26" s="15">
        <v>98804.93</v>
      </c>
      <c r="G26" s="15">
        <v>612624.57999999996</v>
      </c>
      <c r="H26" s="15">
        <v>1125333.08</v>
      </c>
      <c r="I26" s="15">
        <v>347617.38</v>
      </c>
      <c r="L26" s="19">
        <f>SUM(B26:K26)</f>
        <v>5315095.1100000003</v>
      </c>
      <c r="M26" s="19">
        <f>310262+1655289+617337+55264+455988+938564+773475+381646</f>
        <v>5187825</v>
      </c>
      <c r="P26" s="19">
        <v>65549</v>
      </c>
      <c r="Q26" s="19">
        <f>L26+N26+O26+P26</f>
        <v>5380644.1100000003</v>
      </c>
      <c r="R26" s="15">
        <v>5334859</v>
      </c>
    </row>
    <row r="27" spans="1:18" outlineLevel="1" x14ac:dyDescent="0.2">
      <c r="A27" s="15" t="s">
        <v>46</v>
      </c>
      <c r="E27" s="2"/>
      <c r="K27" s="15">
        <v>87785</v>
      </c>
      <c r="L27" s="19">
        <f>SUM(B27:K27)</f>
        <v>87785</v>
      </c>
      <c r="M27" s="19">
        <v>1455</v>
      </c>
      <c r="P27" s="19"/>
      <c r="Q27" s="19">
        <f>L27+N27+O27+P27</f>
        <v>87785</v>
      </c>
      <c r="R27" s="15">
        <v>1455</v>
      </c>
    </row>
    <row r="28" spans="1:18" outlineLevel="1" x14ac:dyDescent="0.2">
      <c r="A28" s="15" t="s">
        <v>38</v>
      </c>
      <c r="C28" s="15">
        <v>18850.59</v>
      </c>
      <c r="D28" s="15">
        <v>54740.85</v>
      </c>
      <c r="F28" s="15">
        <v>9213.9</v>
      </c>
      <c r="H28" s="15">
        <v>143001.44</v>
      </c>
      <c r="I28" s="15">
        <v>20817.25</v>
      </c>
      <c r="L28" s="19">
        <f>SUM(B28:K28)</f>
        <v>246624.03</v>
      </c>
      <c r="M28" s="19">
        <f>4470+24757+32429+85836+26448</f>
        <v>173940</v>
      </c>
      <c r="P28" s="19"/>
      <c r="Q28" s="19">
        <f>L28+N28+O28+P28</f>
        <v>246624.03</v>
      </c>
      <c r="R28" s="15">
        <v>173940</v>
      </c>
    </row>
    <row r="30" spans="1:18" x14ac:dyDescent="0.2">
      <c r="A30" s="14" t="s">
        <v>27</v>
      </c>
      <c r="B30" s="15">
        <v>-24425.38</v>
      </c>
      <c r="C30" s="15">
        <v>4571448.2300000004</v>
      </c>
      <c r="I30" s="15">
        <v>143449.54</v>
      </c>
      <c r="L30" s="19">
        <f>SUM(B30:K30)</f>
        <v>4690472.3900000006</v>
      </c>
      <c r="M30" s="19">
        <f>-3994+4785408</f>
        <v>4781414</v>
      </c>
      <c r="P30" s="19"/>
      <c r="Q30" s="19">
        <f>L30+N30+O30+P30</f>
        <v>4690472.3900000006</v>
      </c>
      <c r="R30" s="15">
        <v>4781414</v>
      </c>
    </row>
    <row r="31" spans="1:18" x14ac:dyDescent="0.2">
      <c r="A31" s="14"/>
      <c r="Q31" s="19"/>
    </row>
    <row r="32" spans="1:18" s="41" customFormat="1" x14ac:dyDescent="0.2">
      <c r="A32" s="38" t="s">
        <v>72</v>
      </c>
      <c r="B32" s="41">
        <f t="shared" ref="B32:M32" si="3">((B18+B23+B28)/(B16+B17+B21+B22+B26+B27))</f>
        <v>6.1980398229044741E-2</v>
      </c>
      <c r="C32" s="41">
        <f t="shared" si="3"/>
        <v>0.15134443260718991</v>
      </c>
      <c r="D32" s="41">
        <f t="shared" si="3"/>
        <v>0.25248229750171297</v>
      </c>
      <c r="E32" s="41">
        <f t="shared" si="3"/>
        <v>0.25376051342957079</v>
      </c>
      <c r="F32" s="41">
        <f t="shared" si="3"/>
        <v>9.3298712264100525E-2</v>
      </c>
      <c r="G32" s="41">
        <f t="shared" si="3"/>
        <v>0.22991008563701096</v>
      </c>
      <c r="H32" s="41">
        <f t="shared" si="3"/>
        <v>0.14985446484727571</v>
      </c>
      <c r="I32" s="41">
        <f t="shared" si="3"/>
        <v>0.32711761321968691</v>
      </c>
      <c r="J32" s="41">
        <v>0</v>
      </c>
      <c r="K32" s="41">
        <f t="shared" si="3"/>
        <v>0</v>
      </c>
      <c r="L32" s="41">
        <f t="shared" si="3"/>
        <v>0.17078917360445831</v>
      </c>
      <c r="M32" s="41">
        <f t="shared" si="3"/>
        <v>0.20934919434211652</v>
      </c>
      <c r="N32" s="41">
        <v>0</v>
      </c>
      <c r="O32" s="41">
        <f>((O18+O23+O28)/(O16+O17+O21+O22+O26+O27))</f>
        <v>0.4317783590963139</v>
      </c>
      <c r="P32" s="41">
        <f>((P18+P23+P28)/(P16+P17+P21+P22+P26+P27))</f>
        <v>7.896090753367889E-2</v>
      </c>
      <c r="Q32" s="41">
        <f>((Q18+Q23+Q28)/(Q16+Q17+Q21+Q22+Q26+Q27))</f>
        <v>0.17207234338113087</v>
      </c>
      <c r="R32" s="41">
        <f>((R18+R23+R28)/(R16+R17+R21+R22+R26+R27))</f>
        <v>0.20805466962542299</v>
      </c>
    </row>
    <row r="33" spans="1:18" x14ac:dyDescent="0.2">
      <c r="B33" s="20"/>
      <c r="C33" s="20"/>
      <c r="D33" s="20"/>
      <c r="E33" s="20"/>
      <c r="F33" s="20"/>
      <c r="G33" s="20"/>
      <c r="H33" s="20"/>
      <c r="I33" s="20"/>
      <c r="J33" s="20"/>
      <c r="K33" s="20"/>
      <c r="L33" s="20"/>
      <c r="M33" s="20"/>
      <c r="N33" s="20"/>
      <c r="O33" s="20"/>
      <c r="P33" s="20"/>
      <c r="Q33" s="20"/>
      <c r="R33" s="20"/>
    </row>
    <row r="34" spans="1:18" ht="12" thickBot="1" x14ac:dyDescent="0.25">
      <c r="A34" s="8" t="s">
        <v>7</v>
      </c>
      <c r="B34" s="21">
        <f t="shared" ref="B34:R34" si="4">+B30+B25+B20+B15+B8</f>
        <v>7336625.5059115803</v>
      </c>
      <c r="C34" s="21">
        <f t="shared" si="4"/>
        <v>52982916.666287199</v>
      </c>
      <c r="D34" s="21">
        <f t="shared" si="4"/>
        <v>26639006.301249504</v>
      </c>
      <c r="E34" s="21">
        <f t="shared" si="4"/>
        <v>6265194.0344764004</v>
      </c>
      <c r="F34" s="21">
        <f t="shared" si="4"/>
        <v>1609621.1503214003</v>
      </c>
      <c r="G34" s="21">
        <f t="shared" si="4"/>
        <v>19209591.18109262</v>
      </c>
      <c r="H34" s="21">
        <f t="shared" si="4"/>
        <v>5829708.2000000002</v>
      </c>
      <c r="I34" s="21">
        <f t="shared" si="4"/>
        <v>11914369.04366063</v>
      </c>
      <c r="J34" s="21">
        <f t="shared" si="4"/>
        <v>809440</v>
      </c>
      <c r="K34" s="21">
        <f t="shared" si="4"/>
        <v>7930921</v>
      </c>
      <c r="L34" s="21">
        <f t="shared" si="4"/>
        <v>140527394.34</v>
      </c>
      <c r="M34" s="21">
        <f t="shared" si="4"/>
        <v>133466204</v>
      </c>
      <c r="N34" s="21">
        <f>+N30+N25+N20+N15+N8</f>
        <v>0</v>
      </c>
      <c r="O34" s="21">
        <f>+O30+O25+O20+O15+O8</f>
        <v>707423.79</v>
      </c>
      <c r="P34" s="21">
        <f>+P30+P25+P20+P15+P8</f>
        <v>1847841.96</v>
      </c>
      <c r="Q34" s="21">
        <f t="shared" si="4"/>
        <v>143082660.09</v>
      </c>
      <c r="R34" s="21">
        <f t="shared" si="4"/>
        <v>136799396</v>
      </c>
    </row>
    <row r="35" spans="1:18" ht="12" thickTop="1" x14ac:dyDescent="0.2">
      <c r="F35" s="23" t="s">
        <v>34</v>
      </c>
    </row>
    <row r="36" spans="1:18" x14ac:dyDescent="0.2">
      <c r="A36" s="8"/>
      <c r="D36" s="24"/>
    </row>
    <row r="37" spans="1:18" hidden="1" x14ac:dyDescent="0.2">
      <c r="B37" s="15">
        <f t="shared" ref="B37:L37" si="5">B16+B17+B21+B22+B26+B27</f>
        <v>4315178.47</v>
      </c>
      <c r="C37" s="15">
        <f t="shared" si="5"/>
        <v>11209853.449999999</v>
      </c>
      <c r="D37" s="15">
        <f t="shared" si="5"/>
        <v>7498971.209999999</v>
      </c>
      <c r="E37" s="15">
        <f t="shared" si="5"/>
        <v>218327.90000000002</v>
      </c>
      <c r="F37" s="15">
        <f t="shared" si="5"/>
        <v>258285.88</v>
      </c>
      <c r="G37" s="15">
        <f t="shared" si="5"/>
        <v>9098526.3399999999</v>
      </c>
      <c r="H37" s="15">
        <f t="shared" si="5"/>
        <v>2874367.41</v>
      </c>
      <c r="I37" s="15">
        <f t="shared" si="5"/>
        <v>4443288.87</v>
      </c>
      <c r="J37" s="15">
        <f t="shared" si="5"/>
        <v>0</v>
      </c>
      <c r="K37" s="15">
        <f t="shared" si="5"/>
        <v>6414717</v>
      </c>
      <c r="L37" s="15">
        <f t="shared" si="5"/>
        <v>46331516.530000001</v>
      </c>
      <c r="N37" s="15">
        <f>N16+N17+N21+N22+N26+N27</f>
        <v>0</v>
      </c>
      <c r="O37" s="15">
        <f>O16+O17+O21+O22+O26+O27</f>
        <v>494087.5</v>
      </c>
      <c r="P37" s="15">
        <f>P16+P17+P21+P22+P26+P27</f>
        <v>739611.56</v>
      </c>
    </row>
    <row r="39" spans="1:18" x14ac:dyDescent="0.2">
      <c r="B39" s="22"/>
      <c r="C39" s="22"/>
      <c r="D39" s="22"/>
      <c r="E39" s="22"/>
      <c r="F39" s="22"/>
      <c r="G39" s="22"/>
      <c r="H39" s="22"/>
      <c r="I39" s="22"/>
      <c r="N39" s="22"/>
    </row>
    <row r="40" spans="1:18" x14ac:dyDescent="0.2">
      <c r="B40" s="26"/>
      <c r="C40" s="26"/>
      <c r="D40" s="12"/>
      <c r="E40" s="22"/>
      <c r="F40" s="22"/>
      <c r="G40" s="22"/>
      <c r="H40" s="22"/>
      <c r="I40" s="22"/>
      <c r="N40" s="22" t="s">
        <v>34</v>
      </c>
    </row>
    <row r="41" spans="1:18" x14ac:dyDescent="0.2">
      <c r="B41" s="22"/>
      <c r="C41" s="22"/>
      <c r="D41" s="22"/>
      <c r="E41" s="22"/>
      <c r="F41" s="22"/>
      <c r="G41" s="22"/>
      <c r="H41" s="22"/>
      <c r="I41" s="22"/>
      <c r="N41" s="22"/>
    </row>
    <row r="42" spans="1:18" x14ac:dyDescent="0.2">
      <c r="B42" s="22"/>
      <c r="C42" s="22"/>
      <c r="D42" s="22"/>
      <c r="E42" s="22"/>
      <c r="F42" s="22"/>
      <c r="G42" s="22"/>
      <c r="H42" s="22"/>
      <c r="I42" s="22"/>
      <c r="N42" s="22"/>
    </row>
    <row r="43" spans="1:18" hidden="1" x14ac:dyDescent="0.2">
      <c r="B43" s="22"/>
      <c r="C43" s="22"/>
      <c r="D43" s="22"/>
      <c r="E43" s="22"/>
      <c r="F43" s="22"/>
      <c r="G43" s="22"/>
      <c r="H43" s="22"/>
      <c r="I43" s="22"/>
      <c r="N43" s="22"/>
    </row>
    <row r="44" spans="1:18" hidden="1" x14ac:dyDescent="0.2">
      <c r="J44" s="22"/>
      <c r="K44" s="22"/>
      <c r="L44" s="22"/>
      <c r="M44" s="22"/>
      <c r="P44" s="22"/>
      <c r="Q44" s="22"/>
      <c r="R44" s="22"/>
    </row>
    <row r="45" spans="1:18" hidden="1" x14ac:dyDescent="0.2">
      <c r="J45" s="22"/>
      <c r="K45" s="22"/>
      <c r="L45" s="22"/>
      <c r="M45" s="22"/>
      <c r="P45" s="22"/>
      <c r="Q45" s="22"/>
      <c r="R45" s="22"/>
    </row>
    <row r="46" spans="1:18" hidden="1" x14ac:dyDescent="0.2">
      <c r="O46" s="8" t="s">
        <v>62</v>
      </c>
      <c r="Q46" s="27" t="s">
        <v>50</v>
      </c>
      <c r="R46" s="27" t="s">
        <v>51</v>
      </c>
    </row>
    <row r="47" spans="1:18" hidden="1" x14ac:dyDescent="0.2">
      <c r="J47" s="2"/>
      <c r="K47" s="2"/>
      <c r="L47" s="2"/>
      <c r="M47" s="2"/>
      <c r="O47" s="8"/>
      <c r="P47" s="2"/>
      <c r="Q47" s="27" t="s">
        <v>52</v>
      </c>
      <c r="R47" s="27" t="s">
        <v>53</v>
      </c>
    </row>
    <row r="48" spans="1:18" hidden="1" x14ac:dyDescent="0.2">
      <c r="J48" s="2"/>
      <c r="K48" s="2"/>
      <c r="L48" s="2"/>
      <c r="M48" s="2"/>
      <c r="O48" s="2"/>
      <c r="P48" s="2"/>
    </row>
    <row r="49" spans="10:18" hidden="1" x14ac:dyDescent="0.2">
      <c r="J49" s="12"/>
      <c r="K49" s="12"/>
      <c r="L49" s="12"/>
      <c r="M49" s="12"/>
      <c r="O49" s="2" t="s">
        <v>63</v>
      </c>
      <c r="P49" s="12"/>
      <c r="Q49" s="19">
        <f>Q9+Q10+Q11+Q30-Q58</f>
        <v>80927922.600000009</v>
      </c>
      <c r="R49" s="19">
        <v>90606630.969999999</v>
      </c>
    </row>
    <row r="50" spans="10:18" hidden="1" x14ac:dyDescent="0.2">
      <c r="J50" s="12"/>
      <c r="K50" s="12"/>
      <c r="L50" s="12"/>
      <c r="M50" s="12"/>
      <c r="O50" s="2" t="s">
        <v>64</v>
      </c>
      <c r="P50" s="12"/>
      <c r="Q50" s="35">
        <f>Q16+Q17+Q21+Q22+Q26+Q27</f>
        <v>47565215.590000004</v>
      </c>
      <c r="R50" s="20">
        <v>46173714</v>
      </c>
    </row>
    <row r="51" spans="10:18" hidden="1" x14ac:dyDescent="0.2">
      <c r="J51" s="12"/>
      <c r="K51" s="12"/>
      <c r="L51" s="12"/>
      <c r="M51" s="12"/>
      <c r="O51" s="2"/>
      <c r="P51" s="12"/>
    </row>
    <row r="52" spans="10:18" ht="12" hidden="1" thickBot="1" x14ac:dyDescent="0.25">
      <c r="J52" s="12"/>
      <c r="K52" s="12"/>
      <c r="L52" s="12"/>
      <c r="M52" s="12"/>
      <c r="O52" s="2" t="s">
        <v>65</v>
      </c>
      <c r="P52" s="12"/>
      <c r="Q52" s="21">
        <f>+Q49+Q50</f>
        <v>128493138.19000001</v>
      </c>
      <c r="R52" s="21">
        <f>+R49+R50</f>
        <v>136780344.97</v>
      </c>
    </row>
    <row r="53" spans="10:18" ht="12" hidden="1" thickTop="1" x14ac:dyDescent="0.2">
      <c r="J53" s="12"/>
      <c r="K53" s="12"/>
      <c r="L53" s="12"/>
      <c r="M53" s="12"/>
      <c r="O53" s="2"/>
      <c r="P53" s="12"/>
    </row>
    <row r="54" spans="10:18" hidden="1" x14ac:dyDescent="0.2">
      <c r="J54" s="2"/>
      <c r="K54" s="2"/>
      <c r="L54" s="2"/>
      <c r="M54" s="2"/>
      <c r="O54" s="15" t="s">
        <v>35</v>
      </c>
      <c r="P54" s="2"/>
      <c r="Q54" s="19">
        <f>Q12</f>
        <v>5502804.2619345393</v>
      </c>
      <c r="R54" s="15">
        <f>Q12</f>
        <v>5502804.2619345393</v>
      </c>
    </row>
    <row r="55" spans="10:18" hidden="1" x14ac:dyDescent="0.2">
      <c r="J55" s="2"/>
      <c r="K55" s="2"/>
      <c r="L55" s="2"/>
      <c r="M55" s="2"/>
      <c r="O55" s="15" t="s">
        <v>36</v>
      </c>
      <c r="P55" s="2"/>
      <c r="Q55" s="29"/>
      <c r="R55" s="22"/>
    </row>
    <row r="56" spans="10:18" hidden="1" x14ac:dyDescent="0.2">
      <c r="J56" s="2"/>
      <c r="K56" s="2"/>
      <c r="L56" s="2"/>
      <c r="M56" s="2"/>
      <c r="O56" s="15" t="s">
        <v>38</v>
      </c>
      <c r="P56" s="2"/>
      <c r="Q56" s="29">
        <f>Q18+Q23+Q28</f>
        <v>8184658.1100000003</v>
      </c>
      <c r="R56" s="22">
        <f>Q18+Q23+Q28</f>
        <v>8184658.1100000003</v>
      </c>
    </row>
    <row r="57" spans="10:18" hidden="1" x14ac:dyDescent="0.2">
      <c r="J57" s="12"/>
      <c r="K57" s="12"/>
      <c r="L57" s="12"/>
      <c r="M57" s="12"/>
      <c r="O57" s="15" t="s">
        <v>37</v>
      </c>
      <c r="P57" s="12"/>
      <c r="Q57" s="29">
        <f>Q13</f>
        <v>902059.54999999993</v>
      </c>
      <c r="R57" s="22">
        <f>Q13</f>
        <v>902059.54999999993</v>
      </c>
    </row>
    <row r="58" spans="10:18" hidden="1" x14ac:dyDescent="0.2">
      <c r="J58" s="12"/>
      <c r="K58" s="12"/>
      <c r="L58" s="12"/>
      <c r="M58" s="12"/>
      <c r="O58" s="2" t="s">
        <v>66</v>
      </c>
      <c r="P58" s="12"/>
      <c r="Q58" s="29">
        <v>0</v>
      </c>
      <c r="R58" s="29">
        <v>0</v>
      </c>
    </row>
    <row r="59" spans="10:18" hidden="1" x14ac:dyDescent="0.2">
      <c r="J59" s="12"/>
      <c r="K59" s="12"/>
      <c r="L59" s="12"/>
      <c r="M59" s="12"/>
      <c r="O59" s="2" t="s">
        <v>73</v>
      </c>
      <c r="P59" s="12"/>
      <c r="Q59" s="29"/>
      <c r="R59" s="29">
        <v>0</v>
      </c>
    </row>
    <row r="60" spans="10:18" hidden="1" x14ac:dyDescent="0.2">
      <c r="J60" s="12"/>
      <c r="K60" s="12"/>
      <c r="L60" s="12"/>
      <c r="M60" s="12"/>
      <c r="O60" s="2" t="s">
        <v>74</v>
      </c>
      <c r="P60" s="12"/>
      <c r="Q60" s="29"/>
      <c r="R60" s="29"/>
    </row>
    <row r="61" spans="10:18" hidden="1" x14ac:dyDescent="0.2">
      <c r="J61" s="12"/>
      <c r="K61" s="12"/>
      <c r="L61" s="12"/>
      <c r="M61" s="12"/>
      <c r="O61" s="2" t="s">
        <v>76</v>
      </c>
      <c r="P61" s="12"/>
      <c r="Q61" s="29"/>
      <c r="R61" s="29">
        <v>0</v>
      </c>
    </row>
    <row r="62" spans="10:18" hidden="1" x14ac:dyDescent="0.2">
      <c r="J62" s="12"/>
      <c r="K62" s="12"/>
      <c r="L62" s="12"/>
      <c r="M62" s="12"/>
      <c r="O62" s="2" t="s">
        <v>60</v>
      </c>
      <c r="P62" s="12"/>
      <c r="Q62" s="20"/>
      <c r="R62" s="20">
        <v>0</v>
      </c>
    </row>
    <row r="63" spans="10:18" hidden="1" x14ac:dyDescent="0.2">
      <c r="J63" s="12"/>
      <c r="K63" s="12"/>
      <c r="L63" s="12"/>
      <c r="M63" s="12"/>
      <c r="O63" s="2"/>
      <c r="P63" s="12"/>
    </row>
    <row r="64" spans="10:18" ht="12" hidden="1" thickBot="1" x14ac:dyDescent="0.25">
      <c r="J64" s="12"/>
      <c r="K64" s="12"/>
      <c r="L64" s="12"/>
      <c r="M64" s="12"/>
      <c r="O64" s="2" t="s">
        <v>7</v>
      </c>
      <c r="P64" s="12"/>
      <c r="Q64" s="21">
        <f>SUM(Q52:Q62)</f>
        <v>143082660.11193457</v>
      </c>
      <c r="R64" s="21">
        <f>SUM(R52:R62)</f>
        <v>151369866.89193457</v>
      </c>
    </row>
    <row r="65" spans="10:18" ht="12" hidden="1" thickTop="1" x14ac:dyDescent="0.2">
      <c r="J65" s="22"/>
      <c r="K65" s="22"/>
      <c r="L65" s="22"/>
      <c r="M65" s="22"/>
      <c r="P65" s="22"/>
      <c r="Q65" s="15">
        <f>Q34-Q64</f>
        <v>-2.1934568881988525E-2</v>
      </c>
      <c r="R65" s="15">
        <f>Q64-R64</f>
        <v>-8287206.7800000012</v>
      </c>
    </row>
    <row r="66" spans="10:18" hidden="1" x14ac:dyDescent="0.2"/>
    <row r="67" spans="10:18" hidden="1" x14ac:dyDescent="0.2"/>
    <row r="68" spans="10:18" hidden="1" x14ac:dyDescent="0.2"/>
    <row r="69" spans="10:18" hidden="1" x14ac:dyDescent="0.2"/>
    <row r="70" spans="10:18" hidden="1" x14ac:dyDescent="0.2"/>
    <row r="71" spans="10:18" hidden="1" x14ac:dyDescent="0.2"/>
    <row r="72" spans="10:18" hidden="1" x14ac:dyDescent="0.2"/>
    <row r="73" spans="10:18" hidden="1" x14ac:dyDescent="0.2"/>
    <row r="74" spans="10:18" hidden="1" x14ac:dyDescent="0.2"/>
    <row r="75" spans="10:18" hidden="1" x14ac:dyDescent="0.2"/>
  </sheetData>
  <phoneticPr fontId="0" type="noConversion"/>
  <printOptions horizontalCentered="1" verticalCentered="1"/>
  <pageMargins left="0" right="0" top="0.5" bottom="0.5" header="0.25" footer="0.25"/>
  <pageSetup scale="73" orientation="landscape" horizontalDpi="4294967292" r:id="rId1"/>
  <headerFooter alignWithMargins="0">
    <oddHeader>&amp;L11/04/15&amp;C&amp;F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T67"/>
  <sheetViews>
    <sheetView workbookViewId="0">
      <pane xSplit="1" ySplit="6" topLeftCell="B7" activePane="bottomRight" state="frozen"/>
      <selection activeCell="O2" sqref="O2"/>
      <selection pane="topRight" activeCell="O2" sqref="O2"/>
      <selection pane="bottomLeft" activeCell="O2" sqref="O2"/>
      <selection pane="bottomRight" activeCell="K23" sqref="K23"/>
    </sheetView>
  </sheetViews>
  <sheetFormatPr defaultRowHeight="11.25" outlineLevelRow="1" x14ac:dyDescent="0.2"/>
  <cols>
    <col min="1" max="1" width="18.85546875" style="15" customWidth="1"/>
    <col min="2" max="2" width="11.28515625" style="15" customWidth="1"/>
    <col min="3" max="3" width="9.42578125" style="15" customWidth="1"/>
    <col min="4" max="4" width="10" style="15" customWidth="1"/>
    <col min="5" max="5" width="10.28515625" style="15" customWidth="1"/>
    <col min="6" max="6" width="11" style="15" customWidth="1"/>
    <col min="7" max="7" width="10.5703125" style="15" customWidth="1"/>
    <col min="8" max="8" width="8.140625" style="15" bestFit="1" customWidth="1"/>
    <col min="9" max="9" width="10.140625" style="15" customWidth="1"/>
    <col min="10" max="13" width="10" style="15" customWidth="1"/>
    <col min="14" max="14" width="9.140625" style="15"/>
    <col min="15" max="15" width="10.140625" style="15" customWidth="1"/>
    <col min="16" max="17" width="10" style="15" customWidth="1"/>
    <col min="18" max="18" width="8.85546875" style="15" bestFit="1" customWidth="1"/>
    <col min="19" max="16384" width="9.140625" style="15"/>
  </cols>
  <sheetData>
    <row r="1" spans="1:20" x14ac:dyDescent="0.2">
      <c r="A1" s="8" t="s">
        <v>82</v>
      </c>
      <c r="H1" s="13"/>
      <c r="R1" s="32" t="s">
        <v>44</v>
      </c>
    </row>
    <row r="2" spans="1:20" x14ac:dyDescent="0.2">
      <c r="A2" s="14" t="s">
        <v>32</v>
      </c>
    </row>
    <row r="3" spans="1:20" x14ac:dyDescent="0.2">
      <c r="R3" s="28" t="s">
        <v>34</v>
      </c>
    </row>
    <row r="4" spans="1:20" x14ac:dyDescent="0.2">
      <c r="A4" s="14" t="s">
        <v>41</v>
      </c>
      <c r="B4" s="16"/>
      <c r="C4" s="16"/>
      <c r="D4" s="16"/>
      <c r="E4" s="16"/>
      <c r="F4" s="16"/>
      <c r="G4" s="16"/>
      <c r="H4" s="16" t="s">
        <v>1</v>
      </c>
      <c r="I4" s="16"/>
      <c r="J4" s="16"/>
      <c r="K4" s="16"/>
      <c r="L4" s="37" t="s">
        <v>77</v>
      </c>
      <c r="M4" s="37" t="s">
        <v>75</v>
      </c>
      <c r="N4" s="16"/>
      <c r="O4" s="16"/>
      <c r="P4" s="16" t="s">
        <v>29</v>
      </c>
      <c r="Q4" s="37" t="s">
        <v>77</v>
      </c>
      <c r="R4" s="37" t="s">
        <v>75</v>
      </c>
    </row>
    <row r="5" spans="1:20" x14ac:dyDescent="0.2">
      <c r="B5" s="16" t="s">
        <v>2</v>
      </c>
      <c r="C5" s="16"/>
      <c r="D5" s="16" t="s">
        <v>3</v>
      </c>
      <c r="E5" s="16"/>
      <c r="F5" s="16"/>
      <c r="G5" s="16"/>
      <c r="H5" s="16" t="s">
        <v>4</v>
      </c>
      <c r="I5" s="16" t="s">
        <v>5</v>
      </c>
      <c r="J5" s="37" t="s">
        <v>34</v>
      </c>
      <c r="K5" s="37"/>
      <c r="L5" s="37" t="s">
        <v>81</v>
      </c>
      <c r="M5" s="37" t="s">
        <v>81</v>
      </c>
      <c r="N5" s="16"/>
      <c r="O5" s="16" t="s">
        <v>6</v>
      </c>
      <c r="P5" s="16" t="s">
        <v>30</v>
      </c>
      <c r="Q5" s="16" t="s">
        <v>48</v>
      </c>
      <c r="R5" s="16" t="s">
        <v>7</v>
      </c>
    </row>
    <row r="6" spans="1:20" x14ac:dyDescent="0.2">
      <c r="B6" s="17" t="s">
        <v>8</v>
      </c>
      <c r="C6" s="17" t="s">
        <v>9</v>
      </c>
      <c r="D6" s="17" t="s">
        <v>10</v>
      </c>
      <c r="E6" s="17" t="s">
        <v>11</v>
      </c>
      <c r="F6" s="17" t="s">
        <v>12</v>
      </c>
      <c r="G6" s="17" t="s">
        <v>13</v>
      </c>
      <c r="H6" s="17" t="s">
        <v>10</v>
      </c>
      <c r="I6" s="17" t="s">
        <v>15</v>
      </c>
      <c r="J6" s="16" t="s">
        <v>26</v>
      </c>
      <c r="K6" s="37" t="s">
        <v>78</v>
      </c>
      <c r="L6" s="37" t="s">
        <v>80</v>
      </c>
      <c r="M6" s="37" t="s">
        <v>80</v>
      </c>
      <c r="N6" s="17" t="s">
        <v>14</v>
      </c>
      <c r="O6" s="17" t="s">
        <v>16</v>
      </c>
      <c r="P6" s="17" t="s">
        <v>10</v>
      </c>
      <c r="Q6" s="30" t="s">
        <v>8</v>
      </c>
      <c r="R6" s="17" t="s">
        <v>8</v>
      </c>
    </row>
    <row r="7" spans="1:20" s="19" customFormat="1" x14ac:dyDescent="0.2">
      <c r="A7" s="5" t="s">
        <v>17</v>
      </c>
      <c r="B7" s="18"/>
      <c r="C7" s="18"/>
      <c r="D7" s="18"/>
      <c r="E7" s="18"/>
      <c r="F7" s="18"/>
      <c r="G7" s="18"/>
      <c r="H7" s="18"/>
      <c r="I7" s="18"/>
      <c r="J7" s="18"/>
      <c r="K7" s="18"/>
      <c r="L7" s="18"/>
      <c r="M7" s="18"/>
      <c r="N7" s="18"/>
      <c r="O7" s="18"/>
      <c r="P7" s="18"/>
      <c r="Q7" s="18"/>
    </row>
    <row r="8" spans="1:20" ht="11.25" customHeight="1" x14ac:dyDescent="0.2">
      <c r="A8" s="8" t="s">
        <v>18</v>
      </c>
      <c r="B8" s="15">
        <f t="shared" ref="B8:R8" si="0">SUM(B9:B13)</f>
        <v>194590.58052225999</v>
      </c>
      <c r="C8" s="15">
        <f t="shared" si="0"/>
        <v>41981.636650799999</v>
      </c>
      <c r="D8" s="15">
        <f t="shared" si="0"/>
        <v>256615.82880781006</v>
      </c>
      <c r="E8" s="15">
        <f t="shared" si="0"/>
        <v>0</v>
      </c>
      <c r="F8" s="15">
        <f t="shared" si="0"/>
        <v>179390.33775245</v>
      </c>
      <c r="G8" s="15">
        <f t="shared" si="0"/>
        <v>81029.832836029993</v>
      </c>
      <c r="H8" s="15">
        <f t="shared" si="0"/>
        <v>21217.191771599999</v>
      </c>
      <c r="I8" s="15">
        <f t="shared" si="0"/>
        <v>491150.91603402008</v>
      </c>
      <c r="J8" s="15">
        <f t="shared" si="0"/>
        <v>0</v>
      </c>
      <c r="K8" s="15">
        <f t="shared" si="0"/>
        <v>0</v>
      </c>
      <c r="L8" s="15">
        <f t="shared" si="0"/>
        <v>1265976.32437497</v>
      </c>
      <c r="M8" s="15">
        <f t="shared" si="0"/>
        <v>2045588</v>
      </c>
      <c r="N8" s="15">
        <f>SUM(N9:N13)</f>
        <v>673370.97952307994</v>
      </c>
      <c r="O8" s="15">
        <f>SUM(O9:O13)</f>
        <v>5050212.7782497406</v>
      </c>
      <c r="P8" s="15">
        <f>SUM(P9:P13)</f>
        <v>1128097.3465229801</v>
      </c>
      <c r="Q8" s="15">
        <f t="shared" si="0"/>
        <v>8117657.4286707714</v>
      </c>
      <c r="R8" s="15">
        <f t="shared" si="0"/>
        <v>5166792</v>
      </c>
    </row>
    <row r="9" spans="1:20" s="19" customFormat="1" ht="11.25" customHeight="1" x14ac:dyDescent="0.2">
      <c r="A9" s="19" t="s">
        <v>19</v>
      </c>
      <c r="F9" s="19">
        <f>152395.61</f>
        <v>152395.60999999999</v>
      </c>
      <c r="L9" s="19">
        <f>SUM(B9:K9)</f>
        <v>152395.60999999999</v>
      </c>
      <c r="M9" s="19">
        <v>301260</v>
      </c>
      <c r="Q9" s="19">
        <f>L9+N9+O9+P9</f>
        <v>152395.60999999999</v>
      </c>
      <c r="R9" s="19">
        <v>301260</v>
      </c>
    </row>
    <row r="10" spans="1:20" s="19" customFormat="1" ht="11.25" customHeight="1" outlineLevel="1" x14ac:dyDescent="0.2">
      <c r="A10" s="19" t="s">
        <v>20</v>
      </c>
      <c r="D10" s="19">
        <v>728.88</v>
      </c>
      <c r="F10" s="19">
        <v>7468.29</v>
      </c>
      <c r="G10" s="19">
        <v>22320.7</v>
      </c>
      <c r="L10" s="19">
        <f>SUM(B10:K10)</f>
        <v>30517.870000000003</v>
      </c>
      <c r="M10" s="19">
        <f>39864+41073+20502</f>
        <v>101439</v>
      </c>
      <c r="P10" s="19">
        <v>553373.01</v>
      </c>
      <c r="Q10" s="19">
        <f>L10+N10+O10+P10</f>
        <v>583890.88</v>
      </c>
      <c r="R10" s="19">
        <v>603994</v>
      </c>
    </row>
    <row r="11" spans="1:20" outlineLevel="1" x14ac:dyDescent="0.2">
      <c r="A11" s="15" t="s">
        <v>21</v>
      </c>
      <c r="L11" s="19">
        <f>SUM(B11:K11)</f>
        <v>0</v>
      </c>
      <c r="M11" s="19"/>
      <c r="Q11" s="19">
        <f>L11+N11+O11+P11</f>
        <v>0</v>
      </c>
      <c r="R11" s="15">
        <v>0</v>
      </c>
    </row>
    <row r="12" spans="1:20" outlineLevel="1" x14ac:dyDescent="0.2">
      <c r="A12" s="2" t="s">
        <v>79</v>
      </c>
      <c r="B12" s="15">
        <f>(B16+B17+B21+B22+B26+B27)*0.068006</f>
        <v>194590.58052225999</v>
      </c>
      <c r="C12" s="15">
        <f>(C16+C17+C21+C22+C26+C27)*0.095016</f>
        <v>41981.636650799999</v>
      </c>
      <c r="D12" s="15">
        <f>(D16+D17+D21+D22+D26+D27)*0.233993</f>
        <v>255485.99880781004</v>
      </c>
      <c r="E12" s="15">
        <f>(E16+E17+E21+E22+E26+E27)*0.068006</f>
        <v>0</v>
      </c>
      <c r="F12" s="15">
        <f>(F16+F17+F21+F22+F26+F27)*0.078655</f>
        <v>15419.037752449998</v>
      </c>
      <c r="G12" s="15">
        <f>(G16+G17+G21+G22+G26+G27)*0.292233</f>
        <v>46432.582836029993</v>
      </c>
      <c r="H12" s="15">
        <f>(H16+H17+H21+H22+H26+H27)*0.264539</f>
        <v>21217.191771599999</v>
      </c>
      <c r="I12" s="15">
        <f>(I16+I17+I21+I22+I26+I27)*0.231986</f>
        <v>491150.91603402008</v>
      </c>
      <c r="J12" s="15">
        <f>(J16+J17+J21+J22+J26+J27)*0.068006</f>
        <v>0</v>
      </c>
      <c r="K12" s="15">
        <v>0</v>
      </c>
      <c r="L12" s="19">
        <f>SUM(B12:K12)</f>
        <v>1066277.9443749702</v>
      </c>
      <c r="M12" s="19">
        <f>12540+233484+46825+232539+324828+34480+192011+510391</f>
        <v>1587098</v>
      </c>
      <c r="N12" s="15">
        <f>(N16+N17+N21+N22+N26+N27)*0.312548</f>
        <v>673370.97952307994</v>
      </c>
      <c r="O12" s="15">
        <f>(O16+O17+O21+O22+O26+O27)*0.262179</f>
        <v>5050212.7782497406</v>
      </c>
      <c r="P12" s="15">
        <f>(P16+P17+P21+P22+P26+P27)*0.081627</f>
        <v>421440.01652298006</v>
      </c>
      <c r="Q12" s="19">
        <f>L12+N12+O12+P12</f>
        <v>7211301.7186707715</v>
      </c>
      <c r="R12" s="15">
        <f>12526+3921841</f>
        <v>3934367</v>
      </c>
    </row>
    <row r="13" spans="1:20" outlineLevel="1" x14ac:dyDescent="0.2">
      <c r="A13" s="15" t="s">
        <v>37</v>
      </c>
      <c r="D13" s="15">
        <v>400.95</v>
      </c>
      <c r="F13" s="15">
        <v>4107.3999999999996</v>
      </c>
      <c r="G13" s="15">
        <v>12276.55</v>
      </c>
      <c r="L13" s="19">
        <f>SUM(B13:K13)</f>
        <v>16784.899999999998</v>
      </c>
      <c r="M13" s="19">
        <f>21925+22590+11276</f>
        <v>55791</v>
      </c>
      <c r="P13" s="15">
        <v>153284.32</v>
      </c>
      <c r="Q13" s="19">
        <f>L13+N13+O13+P13</f>
        <v>170069.22</v>
      </c>
      <c r="R13" s="15">
        <v>327171</v>
      </c>
    </row>
    <row r="15" spans="1:20" x14ac:dyDescent="0.2">
      <c r="A15" s="14" t="s">
        <v>25</v>
      </c>
      <c r="B15" s="15">
        <f t="shared" ref="B15:R15" si="1">SUM(B16:B18)</f>
        <v>1299463.52</v>
      </c>
      <c r="C15" s="15">
        <f t="shared" si="1"/>
        <v>5999.21</v>
      </c>
      <c r="D15" s="15">
        <f t="shared" si="1"/>
        <v>763945.48</v>
      </c>
      <c r="E15" s="15">
        <f t="shared" si="1"/>
        <v>0</v>
      </c>
      <c r="F15" s="15">
        <f t="shared" si="1"/>
        <v>66069.59</v>
      </c>
      <c r="G15" s="15">
        <f t="shared" si="1"/>
        <v>7261.74</v>
      </c>
      <c r="H15" s="15">
        <f t="shared" si="1"/>
        <v>19045.78</v>
      </c>
      <c r="I15" s="15">
        <f t="shared" si="1"/>
        <v>2262725.4700000002</v>
      </c>
      <c r="J15" s="15">
        <f t="shared" si="1"/>
        <v>0</v>
      </c>
      <c r="K15" s="15">
        <f t="shared" si="1"/>
        <v>0</v>
      </c>
      <c r="L15" s="15">
        <f t="shared" si="1"/>
        <v>4424510.79</v>
      </c>
      <c r="M15" s="15">
        <f t="shared" si="1"/>
        <v>5413949</v>
      </c>
      <c r="N15" s="15">
        <f>SUM(N16:N18)</f>
        <v>255262.76</v>
      </c>
      <c r="O15" s="15">
        <f>SUM(O16:O18)</f>
        <v>80799.44</v>
      </c>
      <c r="P15" s="15">
        <f>SUM(P16:P18)</f>
        <v>524188.26</v>
      </c>
      <c r="Q15" s="15">
        <f t="shared" si="1"/>
        <v>5284761.25</v>
      </c>
      <c r="R15" s="15">
        <f t="shared" si="1"/>
        <v>6732059</v>
      </c>
      <c r="T15" s="15" t="e">
        <f>SUM(#REF!+#REF!+#REF!+#REF!)</f>
        <v>#REF!</v>
      </c>
    </row>
    <row r="16" spans="1:20" outlineLevel="1" x14ac:dyDescent="0.2">
      <c r="A16" s="15" t="s">
        <v>22</v>
      </c>
      <c r="B16" s="15">
        <v>1299113.52</v>
      </c>
      <c r="C16" s="15">
        <f>2266.23+3732.98</f>
        <v>5999.21</v>
      </c>
      <c r="D16" s="19">
        <v>736945.58</v>
      </c>
      <c r="F16" s="15">
        <v>66069.59</v>
      </c>
      <c r="G16" s="15">
        <v>6594.05</v>
      </c>
      <c r="H16" s="15">
        <v>18004.55</v>
      </c>
      <c r="I16" s="15">
        <v>2097406.64</v>
      </c>
      <c r="L16" s="19">
        <f>SUM(B16:K16)</f>
        <v>4230133.1399999997</v>
      </c>
      <c r="M16" s="19">
        <f>1885256+18321+376082+243800+20639+213654+2158440</f>
        <v>4916192</v>
      </c>
      <c r="N16" s="15">
        <v>255262.76</v>
      </c>
      <c r="O16" s="15">
        <v>80799.44</v>
      </c>
      <c r="P16" s="15">
        <v>511656.38</v>
      </c>
      <c r="Q16" s="19">
        <f>L16+N16+O16+P16</f>
        <v>5077851.72</v>
      </c>
      <c r="R16" s="15">
        <v>6220377</v>
      </c>
    </row>
    <row r="17" spans="1:18" outlineLevel="1" x14ac:dyDescent="0.2">
      <c r="A17" s="15" t="s">
        <v>46</v>
      </c>
      <c r="L17" s="19">
        <f>SUM(B17:K17)</f>
        <v>0</v>
      </c>
      <c r="M17" s="19"/>
      <c r="Q17" s="19">
        <f>L17+N17+O17+P17</f>
        <v>0</v>
      </c>
      <c r="R17" s="15">
        <v>0</v>
      </c>
    </row>
    <row r="18" spans="1:18" outlineLevel="1" x14ac:dyDescent="0.2">
      <c r="A18" s="15" t="s">
        <v>38</v>
      </c>
      <c r="B18" s="15">
        <v>350</v>
      </c>
      <c r="D18" s="15">
        <v>26999.9</v>
      </c>
      <c r="G18" s="15">
        <v>667.69</v>
      </c>
      <c r="H18" s="15">
        <v>1041.23</v>
      </c>
      <c r="I18" s="15">
        <v>165318.82999999999</v>
      </c>
      <c r="L18" s="19">
        <f>SUM(B18:K18)</f>
        <v>194377.65</v>
      </c>
      <c r="M18" s="19">
        <f>106750+33+34180+356794</f>
        <v>497757</v>
      </c>
      <c r="P18" s="15">
        <v>12531.88</v>
      </c>
      <c r="Q18" s="19">
        <f>L18+N18+O18+P18</f>
        <v>206909.53</v>
      </c>
      <c r="R18" s="15">
        <v>511682</v>
      </c>
    </row>
    <row r="20" spans="1:18" x14ac:dyDescent="0.2">
      <c r="A20" s="14" t="s">
        <v>23</v>
      </c>
      <c r="B20" s="15">
        <f t="shared" ref="B20:R20" si="2">SUM(B21:B23)</f>
        <v>1694756.67</v>
      </c>
      <c r="C20" s="15">
        <f t="shared" si="2"/>
        <v>519499.74</v>
      </c>
      <c r="D20" s="15">
        <f t="shared" si="2"/>
        <v>346628.95</v>
      </c>
      <c r="E20" s="15">
        <f t="shared" si="2"/>
        <v>0</v>
      </c>
      <c r="F20" s="15">
        <f t="shared" si="2"/>
        <v>29669.7</v>
      </c>
      <c r="G20" s="15">
        <f t="shared" si="2"/>
        <v>172807.63999999998</v>
      </c>
      <c r="H20" s="15">
        <f t="shared" si="2"/>
        <v>62199.85</v>
      </c>
      <c r="I20" s="15">
        <f t="shared" si="2"/>
        <v>21331.010000000002</v>
      </c>
      <c r="J20" s="15">
        <f t="shared" si="2"/>
        <v>0</v>
      </c>
      <c r="K20" s="15">
        <f t="shared" si="2"/>
        <v>4229127.3600000003</v>
      </c>
      <c r="L20" s="15">
        <f t="shared" si="2"/>
        <v>7076020.9199999999</v>
      </c>
      <c r="M20" s="15">
        <f t="shared" si="2"/>
        <v>7786395</v>
      </c>
      <c r="N20" s="15">
        <f>SUM(N21:N23)</f>
        <v>2113681.0100000002</v>
      </c>
      <c r="O20" s="15">
        <f>SUM(O21:O23)</f>
        <v>20071545.890000001</v>
      </c>
      <c r="P20" s="15">
        <f>SUM(P21:P23)</f>
        <v>5297888.3000000007</v>
      </c>
      <c r="Q20" s="15">
        <f t="shared" si="2"/>
        <v>34559136.119999997</v>
      </c>
      <c r="R20" s="15">
        <f t="shared" si="2"/>
        <v>20454748</v>
      </c>
    </row>
    <row r="21" spans="1:18" outlineLevel="1" x14ac:dyDescent="0.2">
      <c r="A21" s="15" t="s">
        <v>22</v>
      </c>
      <c r="B21" s="15">
        <v>1553209.19</v>
      </c>
      <c r="C21" s="15">
        <f>299667.43+134008.16</f>
        <v>433675.58999999997</v>
      </c>
      <c r="D21" s="15">
        <v>324670.5</v>
      </c>
      <c r="F21" s="15">
        <v>25580.66</v>
      </c>
      <c r="G21" s="15">
        <v>152294.85999999999</v>
      </c>
      <c r="H21" s="15">
        <v>62199.85</v>
      </c>
      <c r="I21" s="15">
        <v>19750.93</v>
      </c>
      <c r="L21" s="19">
        <f>SUM(B21:K21)</f>
        <v>2571381.58</v>
      </c>
      <c r="M21" s="19">
        <f>1732440+463211+588396+6071+24218+97349+68640+41656</f>
        <v>3021981</v>
      </c>
      <c r="N21" s="15">
        <v>1868950.55</v>
      </c>
      <c r="O21" s="15">
        <v>19175786.190000001</v>
      </c>
      <c r="P21" s="15">
        <v>4604176.1900000004</v>
      </c>
      <c r="Q21" s="19">
        <f>L21+N21+O21+P21</f>
        <v>28220294.510000002</v>
      </c>
      <c r="R21" s="15">
        <v>13806076</v>
      </c>
    </row>
    <row r="22" spans="1:18" outlineLevel="1" x14ac:dyDescent="0.2">
      <c r="A22" s="15" t="s">
        <v>46</v>
      </c>
      <c r="K22" s="15">
        <f>3549537.04</f>
        <v>3549537.04</v>
      </c>
      <c r="L22" s="19">
        <f>SUM(B22:K22)</f>
        <v>3549537.04</v>
      </c>
      <c r="M22" s="19">
        <v>3772193</v>
      </c>
      <c r="Q22" s="19">
        <f>L22+N22+O22+P22</f>
        <v>3549537.04</v>
      </c>
      <c r="R22" s="15">
        <v>3772193</v>
      </c>
    </row>
    <row r="23" spans="1:18" outlineLevel="1" x14ac:dyDescent="0.2">
      <c r="A23" s="15" t="s">
        <v>38</v>
      </c>
      <c r="B23" s="15">
        <v>141547.48000000001</v>
      </c>
      <c r="C23" s="15">
        <f>24448.36+61375.79</f>
        <v>85824.15</v>
      </c>
      <c r="D23" s="15">
        <v>21958.45</v>
      </c>
      <c r="F23" s="15">
        <v>4089.04</v>
      </c>
      <c r="G23" s="15">
        <v>20512.78</v>
      </c>
      <c r="I23" s="15">
        <v>1580.08</v>
      </c>
      <c r="K23" s="15">
        <v>679590.32</v>
      </c>
      <c r="L23" s="19">
        <f>SUM(B23:K23)</f>
        <v>955102.3</v>
      </c>
      <c r="M23" s="19">
        <f>124111+54593+42452+3327+760399+1950+5389</f>
        <v>992221</v>
      </c>
      <c r="N23" s="15">
        <v>244730.46</v>
      </c>
      <c r="O23" s="15">
        <v>895759.7</v>
      </c>
      <c r="P23" s="15">
        <v>693712.11</v>
      </c>
      <c r="Q23" s="19">
        <f>L23+N23+O23+P23</f>
        <v>2789304.57</v>
      </c>
      <c r="R23" s="15">
        <v>2876479</v>
      </c>
    </row>
    <row r="25" spans="1:18" x14ac:dyDescent="0.2">
      <c r="A25" s="14" t="s">
        <v>24</v>
      </c>
      <c r="B25" s="15">
        <f t="shared" ref="B25:R25" si="3">SUM(B26:B28)</f>
        <v>9051</v>
      </c>
      <c r="C25" s="15">
        <f t="shared" si="3"/>
        <v>2162.75</v>
      </c>
      <c r="D25" s="15">
        <f t="shared" si="3"/>
        <v>30237.09</v>
      </c>
      <c r="E25" s="15">
        <f t="shared" si="3"/>
        <v>0</v>
      </c>
      <c r="F25" s="15">
        <f t="shared" si="3"/>
        <v>104383.54</v>
      </c>
      <c r="G25" s="15">
        <f t="shared" si="3"/>
        <v>0</v>
      </c>
      <c r="H25" s="15">
        <f t="shared" si="3"/>
        <v>0</v>
      </c>
      <c r="I25" s="15">
        <f t="shared" si="3"/>
        <v>0</v>
      </c>
      <c r="J25" s="15">
        <f t="shared" si="3"/>
        <v>0</v>
      </c>
      <c r="K25" s="15">
        <f t="shared" si="3"/>
        <v>0</v>
      </c>
      <c r="L25" s="15">
        <f t="shared" si="3"/>
        <v>145834.38</v>
      </c>
      <c r="M25" s="15">
        <f t="shared" si="3"/>
        <v>662428</v>
      </c>
      <c r="N25" s="15">
        <f>SUM(N26:N28)</f>
        <v>30242.9</v>
      </c>
      <c r="O25" s="15">
        <f>SUM(O26:O28)</f>
        <v>5875.43</v>
      </c>
      <c r="P25" s="15">
        <f>SUM(P26:P28)</f>
        <v>74854.39</v>
      </c>
      <c r="Q25" s="15">
        <f t="shared" si="3"/>
        <v>256807.1</v>
      </c>
      <c r="R25" s="15">
        <f t="shared" si="3"/>
        <v>2946572</v>
      </c>
    </row>
    <row r="26" spans="1:18" outlineLevel="1" x14ac:dyDescent="0.2">
      <c r="A26" s="15" t="s">
        <v>22</v>
      </c>
      <c r="B26" s="15">
        <v>9051</v>
      </c>
      <c r="C26" s="15">
        <v>2162.75</v>
      </c>
      <c r="D26" s="15">
        <v>30237.09</v>
      </c>
      <c r="F26" s="15">
        <v>104383.54</v>
      </c>
      <c r="L26" s="19">
        <f>SUM(B26:K26)</f>
        <v>145834.38</v>
      </c>
      <c r="M26" s="19">
        <f>11282+29307+89567+443538</f>
        <v>573694</v>
      </c>
      <c r="N26" s="15">
        <v>30242.9</v>
      </c>
      <c r="O26" s="15">
        <v>5875.43</v>
      </c>
      <c r="P26" s="15">
        <v>47165.17</v>
      </c>
      <c r="Q26" s="19">
        <f>L26+N26+O26+P26</f>
        <v>229117.88</v>
      </c>
      <c r="R26" s="15">
        <v>2672200</v>
      </c>
    </row>
    <row r="27" spans="1:18" outlineLevel="1" x14ac:dyDescent="0.2">
      <c r="A27" s="15" t="s">
        <v>46</v>
      </c>
      <c r="L27" s="19">
        <f>SUM(B27:K27)</f>
        <v>0</v>
      </c>
      <c r="M27" s="19"/>
      <c r="Q27" s="19">
        <f>L27+N27+O27+P27</f>
        <v>0</v>
      </c>
      <c r="R27" s="15">
        <v>0</v>
      </c>
    </row>
    <row r="28" spans="1:18" outlineLevel="1" x14ac:dyDescent="0.2">
      <c r="A28" s="15" t="s">
        <v>38</v>
      </c>
      <c r="L28" s="19">
        <f>SUM(B28:K28)</f>
        <v>0</v>
      </c>
      <c r="M28" s="19">
        <f>88734</f>
        <v>88734</v>
      </c>
      <c r="P28" s="15">
        <v>27689.22</v>
      </c>
      <c r="Q28" s="19">
        <f>L28+N28+O28+P28</f>
        <v>27689.22</v>
      </c>
      <c r="R28" s="15">
        <v>274372</v>
      </c>
    </row>
    <row r="30" spans="1:18" x14ac:dyDescent="0.2">
      <c r="A30" s="14" t="s">
        <v>27</v>
      </c>
      <c r="L30" s="19">
        <f>SUM(B30:K30)</f>
        <v>0</v>
      </c>
      <c r="M30" s="19"/>
      <c r="Q30" s="19">
        <f>L30+N30+O30+P30</f>
        <v>0</v>
      </c>
      <c r="R30" s="15">
        <v>0</v>
      </c>
    </row>
    <row r="31" spans="1:18" x14ac:dyDescent="0.2">
      <c r="A31" s="14"/>
      <c r="Q31" s="19"/>
    </row>
    <row r="32" spans="1:18" s="41" customFormat="1" x14ac:dyDescent="0.2">
      <c r="A32" s="38" t="s">
        <v>72</v>
      </c>
      <c r="B32" s="41">
        <f t="shared" ref="B32:I32" si="4">((B18+B23+B28)/(B16+B17+B21+B22+B26+B27))</f>
        <v>4.9590684189238607E-2</v>
      </c>
      <c r="C32" s="41">
        <f t="shared" si="4"/>
        <v>0.19424367621086075</v>
      </c>
      <c r="D32" s="41">
        <f t="shared" si="4"/>
        <v>4.4839682976787067E-2</v>
      </c>
      <c r="E32" s="41">
        <v>0</v>
      </c>
      <c r="F32" s="41">
        <f t="shared" si="4"/>
        <v>2.0858852955911326E-2</v>
      </c>
      <c r="G32" s="41">
        <f t="shared" si="4"/>
        <v>0.13330363963098496</v>
      </c>
      <c r="H32" s="41">
        <f t="shared" si="4"/>
        <v>1.2982205465036832E-2</v>
      </c>
      <c r="I32" s="41">
        <f t="shared" si="4"/>
        <v>7.8831595892978321E-2</v>
      </c>
      <c r="J32" s="41">
        <v>0</v>
      </c>
      <c r="K32" s="41">
        <v>0</v>
      </c>
      <c r="L32" s="41">
        <v>0</v>
      </c>
      <c r="M32" s="41">
        <v>0</v>
      </c>
      <c r="N32" s="41">
        <f>((N18+N23+N28)/(N16+N17+N21+N22+N26+N27))</f>
        <v>0.11359268239664058</v>
      </c>
      <c r="O32" s="41">
        <f>((O18+O23+O28)/(O16+O17+O21+O22+O26+O27))</f>
        <v>4.6502868829160909E-2</v>
      </c>
      <c r="P32" s="41">
        <f>((P18+P23+P28)/(P16+P17+P21+P22+P26+P27))</f>
        <v>0.14215253365576719</v>
      </c>
      <c r="Q32" s="41">
        <f>((Q18+Q23+Q28)/(Q16+Q17+Q21+Q22+Q26+Q27))</f>
        <v>8.1557826624964899E-2</v>
      </c>
      <c r="R32" s="41">
        <f>((R18+R23+R28)/(R16+R17+R21+R22+R26+R27))</f>
        <v>0.13836101044900492</v>
      </c>
    </row>
    <row r="33" spans="1:19" x14ac:dyDescent="0.2">
      <c r="B33" s="20"/>
      <c r="C33" s="20"/>
      <c r="D33" s="20"/>
      <c r="E33" s="20"/>
      <c r="F33" s="20"/>
      <c r="G33" s="20"/>
      <c r="H33" s="20"/>
      <c r="I33" s="20"/>
      <c r="J33" s="20"/>
      <c r="K33" s="20"/>
      <c r="L33" s="20"/>
      <c r="M33" s="20"/>
      <c r="N33" s="20"/>
      <c r="O33" s="20"/>
      <c r="P33" s="20"/>
      <c r="Q33" s="20"/>
      <c r="R33" s="20"/>
    </row>
    <row r="34" spans="1:19" ht="12" thickBot="1" x14ac:dyDescent="0.25">
      <c r="A34" s="8" t="s">
        <v>7</v>
      </c>
      <c r="B34" s="21">
        <f t="shared" ref="B34:R34" si="5">+B30+B25+B20+B15+B8</f>
        <v>3197861.7705222601</v>
      </c>
      <c r="C34" s="21">
        <f t="shared" si="5"/>
        <v>569643.33665079996</v>
      </c>
      <c r="D34" s="21">
        <f t="shared" si="5"/>
        <v>1397427.3488078101</v>
      </c>
      <c r="E34" s="21">
        <f t="shared" si="5"/>
        <v>0</v>
      </c>
      <c r="F34" s="21">
        <f t="shared" si="5"/>
        <v>379513.16775244998</v>
      </c>
      <c r="G34" s="21">
        <f t="shared" si="5"/>
        <v>261099.21283602997</v>
      </c>
      <c r="H34" s="21">
        <f t="shared" si="5"/>
        <v>102462.82177160001</v>
      </c>
      <c r="I34" s="21">
        <f t="shared" si="5"/>
        <v>2775207.39603402</v>
      </c>
      <c r="J34" s="21">
        <f t="shared" si="5"/>
        <v>0</v>
      </c>
      <c r="K34" s="21">
        <f t="shared" si="5"/>
        <v>4229127.3600000003</v>
      </c>
      <c r="L34" s="21">
        <f t="shared" si="5"/>
        <v>12912342.41437497</v>
      </c>
      <c r="M34" s="21">
        <f t="shared" si="5"/>
        <v>15908360</v>
      </c>
      <c r="N34" s="21">
        <f>+N30+N25+N20+N15+N8</f>
        <v>3072557.6495230799</v>
      </c>
      <c r="O34" s="21">
        <f>+O30+O25+O20+O15+O8</f>
        <v>25208433.538249742</v>
      </c>
      <c r="P34" s="21">
        <f>+P30+P25+P20+P15+P8</f>
        <v>7025028.2965229806</v>
      </c>
      <c r="Q34" s="21">
        <f t="shared" si="5"/>
        <v>48218361.89867077</v>
      </c>
      <c r="R34" s="21">
        <f t="shared" si="5"/>
        <v>35300171</v>
      </c>
    </row>
    <row r="35" spans="1:19" ht="12" thickTop="1" x14ac:dyDescent="0.2">
      <c r="F35" s="23" t="s">
        <v>34</v>
      </c>
    </row>
    <row r="37" spans="1:19" hidden="1" x14ac:dyDescent="0.2">
      <c r="B37" s="22">
        <f t="shared" ref="B37:L37" si="6">B16+B17+B21+B22+B26+B27</f>
        <v>2861373.71</v>
      </c>
      <c r="C37" s="22">
        <f t="shared" si="6"/>
        <v>441837.55</v>
      </c>
      <c r="D37" s="22">
        <f t="shared" si="6"/>
        <v>1091853.1700000002</v>
      </c>
      <c r="E37" s="22">
        <f t="shared" si="6"/>
        <v>0</v>
      </c>
      <c r="F37" s="22">
        <f t="shared" si="6"/>
        <v>196033.78999999998</v>
      </c>
      <c r="G37" s="22">
        <f t="shared" si="6"/>
        <v>158888.90999999997</v>
      </c>
      <c r="H37" s="22">
        <f t="shared" si="6"/>
        <v>80204.399999999994</v>
      </c>
      <c r="I37" s="22">
        <f t="shared" si="6"/>
        <v>2117157.5700000003</v>
      </c>
      <c r="J37" s="22">
        <f t="shared" si="6"/>
        <v>0</v>
      </c>
      <c r="K37" s="22"/>
      <c r="L37" s="22">
        <f t="shared" si="6"/>
        <v>10496886.140000001</v>
      </c>
      <c r="N37" s="22">
        <f>N16+N17+N21+N22+N26+N27</f>
        <v>2154456.21</v>
      </c>
      <c r="O37" s="22">
        <f>O16+O17+O21+O22+O26+O27</f>
        <v>19262461.060000002</v>
      </c>
      <c r="P37" s="22">
        <f>P16+P17+P21+P22+P26+P27</f>
        <v>5162997.74</v>
      </c>
    </row>
    <row r="38" spans="1:19" x14ac:dyDescent="0.2">
      <c r="A38" s="8"/>
      <c r="B38" s="22"/>
      <c r="C38" s="22"/>
      <c r="D38" s="22"/>
      <c r="E38" s="22"/>
      <c r="F38" s="22"/>
      <c r="G38" s="22"/>
      <c r="H38" s="22"/>
    </row>
    <row r="39" spans="1:19" x14ac:dyDescent="0.2">
      <c r="B39" s="22"/>
      <c r="C39" s="22"/>
      <c r="D39" s="22"/>
      <c r="E39" s="22"/>
      <c r="F39" s="22"/>
      <c r="G39" s="22"/>
      <c r="H39" s="22"/>
    </row>
    <row r="40" spans="1:19" x14ac:dyDescent="0.2">
      <c r="B40" s="22"/>
      <c r="C40" s="22"/>
      <c r="D40" s="22"/>
      <c r="E40" s="22"/>
      <c r="F40" s="22"/>
      <c r="G40" s="22"/>
      <c r="H40" s="22"/>
    </row>
    <row r="41" spans="1:19" x14ac:dyDescent="0.2">
      <c r="B41" s="22"/>
      <c r="C41" s="22"/>
      <c r="D41" s="22"/>
      <c r="E41" s="22"/>
      <c r="F41" s="22"/>
      <c r="G41" s="22"/>
      <c r="H41" s="22"/>
      <c r="I41" s="22"/>
      <c r="N41" s="22"/>
    </row>
    <row r="42" spans="1:19" x14ac:dyDescent="0.2">
      <c r="B42" s="22"/>
      <c r="C42" s="22"/>
      <c r="D42" s="22"/>
      <c r="E42" s="22"/>
      <c r="F42" s="22"/>
      <c r="G42" s="22"/>
      <c r="H42" s="22"/>
      <c r="I42" s="22"/>
      <c r="N42" s="22"/>
    </row>
    <row r="43" spans="1:19" x14ac:dyDescent="0.2">
      <c r="B43" s="22"/>
      <c r="C43" s="22"/>
      <c r="D43" s="22"/>
      <c r="E43" s="22"/>
      <c r="F43" s="22"/>
      <c r="G43" s="22"/>
      <c r="H43" s="22"/>
    </row>
    <row r="44" spans="1:19" x14ac:dyDescent="0.2">
      <c r="B44" s="22"/>
      <c r="C44" s="22"/>
      <c r="D44" s="22"/>
      <c r="E44" s="22"/>
      <c r="F44" s="22"/>
      <c r="G44" s="22"/>
      <c r="H44" s="22"/>
      <c r="J44" s="22"/>
      <c r="K44" s="22"/>
      <c r="L44" s="22"/>
      <c r="M44" s="22"/>
      <c r="O44" s="22"/>
      <c r="P44" s="22"/>
      <c r="Q44" s="22"/>
      <c r="R44" s="22"/>
      <c r="S44" s="22"/>
    </row>
    <row r="45" spans="1:19" x14ac:dyDescent="0.2">
      <c r="B45" s="22"/>
      <c r="C45" s="22"/>
      <c r="D45" s="22"/>
      <c r="E45" s="22"/>
      <c r="F45" s="22"/>
      <c r="G45" s="22"/>
      <c r="H45" s="22"/>
      <c r="J45" s="22"/>
      <c r="K45" s="22"/>
      <c r="L45" s="22"/>
      <c r="M45" s="22"/>
      <c r="O45" s="22"/>
      <c r="P45" s="22"/>
      <c r="Q45" s="22"/>
      <c r="R45" s="22"/>
      <c r="S45" s="22"/>
    </row>
    <row r="46" spans="1:19" hidden="1" x14ac:dyDescent="0.2">
      <c r="B46" s="26"/>
      <c r="C46" s="12"/>
      <c r="D46" s="12"/>
      <c r="J46" s="22"/>
      <c r="K46" s="22"/>
      <c r="L46" s="22"/>
      <c r="M46" s="22"/>
      <c r="O46" s="22"/>
      <c r="P46" s="22"/>
      <c r="Q46" s="22"/>
      <c r="R46" s="22"/>
      <c r="S46" s="22"/>
    </row>
    <row r="47" spans="1:19" hidden="1" x14ac:dyDescent="0.2">
      <c r="J47" s="2"/>
      <c r="K47" s="2"/>
      <c r="L47" s="2"/>
      <c r="M47" s="2"/>
      <c r="O47" s="8" t="s">
        <v>49</v>
      </c>
      <c r="P47" s="2"/>
      <c r="Q47" s="27" t="s">
        <v>50</v>
      </c>
      <c r="R47" s="27" t="s">
        <v>51</v>
      </c>
      <c r="S47" s="22"/>
    </row>
    <row r="48" spans="1:19" hidden="1" x14ac:dyDescent="0.2">
      <c r="J48" s="2"/>
      <c r="K48" s="2"/>
      <c r="L48" s="2"/>
      <c r="M48" s="2"/>
      <c r="O48" s="2"/>
      <c r="P48" s="2"/>
      <c r="Q48" s="27" t="s">
        <v>52</v>
      </c>
      <c r="R48" s="27" t="s">
        <v>53</v>
      </c>
      <c r="S48" s="22"/>
    </row>
    <row r="49" spans="2:19" hidden="1" x14ac:dyDescent="0.2">
      <c r="J49" s="12"/>
      <c r="K49" s="12"/>
      <c r="L49" s="12"/>
      <c r="M49" s="12"/>
      <c r="O49" s="2"/>
      <c r="P49" s="12"/>
      <c r="Q49" s="19"/>
      <c r="S49" s="22"/>
    </row>
    <row r="50" spans="2:19" hidden="1" x14ac:dyDescent="0.2">
      <c r="J50" s="12"/>
      <c r="K50" s="12"/>
      <c r="L50" s="12"/>
      <c r="M50" s="12"/>
      <c r="O50" s="2" t="s">
        <v>67</v>
      </c>
      <c r="P50" s="12"/>
      <c r="Q50" s="35">
        <f>Q17+Q16+Q21+Q22+Q26+Q27-Q59+Q9</f>
        <v>37229196.760000005</v>
      </c>
      <c r="R50" s="20">
        <v>40437868.640000001</v>
      </c>
      <c r="S50" s="22"/>
    </row>
    <row r="51" spans="2:19" hidden="1" x14ac:dyDescent="0.2">
      <c r="J51" s="12"/>
      <c r="K51" s="12"/>
      <c r="L51" s="12"/>
      <c r="M51" s="12"/>
      <c r="O51" s="2"/>
      <c r="P51" s="12"/>
      <c r="Q51" s="19"/>
      <c r="S51" s="22"/>
    </row>
    <row r="52" spans="2:19" ht="12" hidden="1" thickBot="1" x14ac:dyDescent="0.25">
      <c r="J52" s="12"/>
      <c r="K52" s="12"/>
      <c r="L52" s="12"/>
      <c r="M52" s="12"/>
      <c r="O52" s="2" t="s">
        <v>65</v>
      </c>
      <c r="P52" s="12"/>
      <c r="Q52" s="36">
        <f>Q50</f>
        <v>37229196.760000005</v>
      </c>
      <c r="R52" s="21">
        <f>R50</f>
        <v>40437868.640000001</v>
      </c>
      <c r="S52" s="22"/>
    </row>
    <row r="53" spans="2:19" ht="12" hidden="1" thickTop="1" x14ac:dyDescent="0.2">
      <c r="B53" s="22"/>
      <c r="C53" s="22"/>
      <c r="D53" s="22"/>
      <c r="E53" s="22"/>
      <c r="F53" s="22"/>
      <c r="G53" s="22"/>
      <c r="H53" s="22"/>
      <c r="I53" s="22"/>
      <c r="J53" s="12"/>
      <c r="K53" s="12"/>
      <c r="L53" s="12"/>
      <c r="M53" s="12"/>
      <c r="N53" s="22"/>
      <c r="O53" s="2"/>
      <c r="P53" s="12"/>
      <c r="Q53" s="19"/>
      <c r="S53" s="22"/>
    </row>
    <row r="54" spans="2:19" hidden="1" x14ac:dyDescent="0.2">
      <c r="J54" s="2"/>
      <c r="K54" s="2"/>
      <c r="L54" s="2"/>
      <c r="M54" s="2"/>
      <c r="O54" s="15" t="s">
        <v>35</v>
      </c>
      <c r="P54" s="2"/>
      <c r="Q54" s="19">
        <f>SUM(Q12)</f>
        <v>7211301.7186707715</v>
      </c>
      <c r="R54" s="15">
        <f>SUM(Q12)</f>
        <v>7211301.7186707715</v>
      </c>
      <c r="S54" s="22"/>
    </row>
    <row r="55" spans="2:19" hidden="1" x14ac:dyDescent="0.2">
      <c r="J55" s="2"/>
      <c r="K55" s="2"/>
      <c r="L55" s="2"/>
      <c r="M55" s="2"/>
      <c r="O55" s="15" t="s">
        <v>36</v>
      </c>
      <c r="P55" s="2"/>
      <c r="Q55" s="29"/>
      <c r="R55" s="22"/>
      <c r="S55" s="22"/>
    </row>
    <row r="56" spans="2:19" hidden="1" x14ac:dyDescent="0.2">
      <c r="J56" s="2"/>
      <c r="K56" s="2"/>
      <c r="L56" s="2"/>
      <c r="M56" s="2"/>
      <c r="O56" s="15" t="s">
        <v>38</v>
      </c>
      <c r="P56" s="2"/>
      <c r="Q56" s="29">
        <f>SUM(Q28+Q18+Q23)</f>
        <v>3023903.32</v>
      </c>
      <c r="R56" s="22">
        <f>SUM(Q28+Q18+Q23)</f>
        <v>3023903.32</v>
      </c>
      <c r="S56" s="22"/>
    </row>
    <row r="57" spans="2:19" hidden="1" x14ac:dyDescent="0.2">
      <c r="J57" s="12"/>
      <c r="K57" s="12"/>
      <c r="L57" s="12"/>
      <c r="M57" s="12"/>
      <c r="O57" s="15" t="s">
        <v>37</v>
      </c>
      <c r="P57" s="12"/>
      <c r="Q57" s="29">
        <f>SUM(Q13)</f>
        <v>170069.22</v>
      </c>
      <c r="R57" s="22">
        <f>SUM(Q13)</f>
        <v>170069.22</v>
      </c>
      <c r="S57" s="22"/>
    </row>
    <row r="58" spans="2:19" hidden="1" x14ac:dyDescent="0.2">
      <c r="J58" s="2"/>
      <c r="K58" s="2"/>
      <c r="L58" s="2"/>
      <c r="M58" s="2"/>
      <c r="O58" s="2" t="s">
        <v>68</v>
      </c>
      <c r="P58" s="2"/>
      <c r="Q58" s="29">
        <f>Q10</f>
        <v>583890.88</v>
      </c>
      <c r="R58" s="22">
        <f>Q10</f>
        <v>583890.88</v>
      </c>
      <c r="S58" s="22"/>
    </row>
    <row r="59" spans="2:19" hidden="1" x14ac:dyDescent="0.2">
      <c r="J59" s="12"/>
      <c r="K59" s="12"/>
      <c r="L59" s="12"/>
      <c r="M59" s="12"/>
      <c r="O59" s="2" t="s">
        <v>58</v>
      </c>
      <c r="P59" s="12"/>
      <c r="Q59" s="29">
        <v>0</v>
      </c>
      <c r="R59" s="22">
        <v>0</v>
      </c>
      <c r="S59" s="22"/>
    </row>
    <row r="60" spans="2:19" hidden="1" x14ac:dyDescent="0.2">
      <c r="J60" s="12"/>
      <c r="K60" s="12"/>
      <c r="L60" s="12"/>
      <c r="M60" s="12"/>
      <c r="O60" s="2" t="s">
        <v>59</v>
      </c>
      <c r="P60" s="12"/>
      <c r="Q60" s="35"/>
      <c r="R60" s="20">
        <v>0</v>
      </c>
      <c r="S60" s="22"/>
    </row>
    <row r="61" spans="2:19" hidden="1" x14ac:dyDescent="0.2">
      <c r="J61" s="12"/>
      <c r="K61" s="12"/>
      <c r="L61" s="12"/>
      <c r="M61" s="12"/>
      <c r="O61" s="2"/>
      <c r="P61" s="12"/>
      <c r="S61" s="22"/>
    </row>
    <row r="62" spans="2:19" ht="12" hidden="1" thickBot="1" x14ac:dyDescent="0.25">
      <c r="J62" s="12"/>
      <c r="K62" s="12"/>
      <c r="L62" s="12"/>
      <c r="M62" s="12"/>
      <c r="O62" s="2" t="s">
        <v>7</v>
      </c>
      <c r="P62" s="12"/>
      <c r="Q62" s="21">
        <f>SUM(Q52:Q60)</f>
        <v>48218361.898670778</v>
      </c>
      <c r="R62" s="21">
        <f>SUM(R52:R60)</f>
        <v>51427033.778670773</v>
      </c>
      <c r="S62" s="22"/>
    </row>
    <row r="63" spans="2:19" ht="12" hidden="1" thickTop="1" x14ac:dyDescent="0.2">
      <c r="Q63" s="15">
        <f>+Q34-Q62</f>
        <v>0</v>
      </c>
      <c r="R63" s="15">
        <f>Q62-R62</f>
        <v>-3208671.8799999952</v>
      </c>
      <c r="S63" s="22"/>
    </row>
    <row r="64" spans="2:19" hidden="1" x14ac:dyDescent="0.2">
      <c r="J64" s="22"/>
      <c r="K64" s="22"/>
      <c r="L64" s="22"/>
      <c r="M64" s="22"/>
      <c r="O64" s="22"/>
      <c r="P64" s="22"/>
      <c r="Q64" s="22"/>
      <c r="R64" s="22"/>
      <c r="S64" s="22"/>
    </row>
    <row r="65" spans="10:19" hidden="1" x14ac:dyDescent="0.2">
      <c r="J65" s="22"/>
      <c r="K65" s="22"/>
      <c r="L65" s="22"/>
      <c r="M65" s="22"/>
      <c r="O65" s="22"/>
      <c r="P65" s="22"/>
      <c r="Q65" s="22"/>
      <c r="R65" s="22"/>
      <c r="S65" s="22"/>
    </row>
    <row r="66" spans="10:19" hidden="1" x14ac:dyDescent="0.2">
      <c r="J66" s="22"/>
      <c r="K66" s="22"/>
      <c r="L66" s="22"/>
      <c r="M66" s="22"/>
      <c r="O66" s="22"/>
      <c r="P66" s="22"/>
      <c r="Q66" s="22"/>
      <c r="R66" s="22"/>
      <c r="S66" s="22"/>
    </row>
    <row r="67" spans="10:19" hidden="1" x14ac:dyDescent="0.2">
      <c r="J67" s="22"/>
      <c r="K67" s="22"/>
      <c r="L67" s="22"/>
      <c r="M67" s="22"/>
      <c r="O67" s="22"/>
      <c r="P67" s="22"/>
      <c r="Q67" s="22"/>
      <c r="R67" s="22"/>
      <c r="S67" s="22"/>
    </row>
  </sheetData>
  <phoneticPr fontId="0" type="noConversion"/>
  <printOptions horizontalCentered="1" verticalCentered="1"/>
  <pageMargins left="0" right="0" top="0.5" bottom="0.5" header="0.25" footer="0.25"/>
  <pageSetup scale="73" orientation="landscape" horizontalDpi="4294967292" r:id="rId1"/>
  <headerFooter alignWithMargins="0">
    <oddHeader>&amp;L11/04/15&amp;C&amp;F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Q67"/>
  <sheetViews>
    <sheetView workbookViewId="0">
      <pane xSplit="1" ySplit="6" topLeftCell="C7" activePane="bottomRight" state="frozen"/>
      <selection activeCell="O2" sqref="O2"/>
      <selection pane="topRight" activeCell="O2" sqref="O2"/>
      <selection pane="bottomLeft" activeCell="O2" sqref="O2"/>
      <selection pane="bottomRight" activeCell="P31" sqref="P31"/>
    </sheetView>
  </sheetViews>
  <sheetFormatPr defaultRowHeight="11.25" outlineLevelRow="1" x14ac:dyDescent="0.2"/>
  <cols>
    <col min="1" max="1" width="18.85546875" style="15" customWidth="1"/>
    <col min="2" max="2" width="10.5703125" style="15" customWidth="1"/>
    <col min="3" max="3" width="9.85546875" style="15" bestFit="1" customWidth="1"/>
    <col min="4" max="4" width="10" style="15" customWidth="1"/>
    <col min="5" max="5" width="10.28515625" style="15" customWidth="1"/>
    <col min="6" max="6" width="9.140625" style="15"/>
    <col min="7" max="7" width="10.42578125" style="15" bestFit="1" customWidth="1"/>
    <col min="8" max="8" width="9.140625" style="15"/>
    <col min="9" max="9" width="10.140625" style="15" customWidth="1"/>
    <col min="10" max="13" width="9.140625" style="15"/>
    <col min="14" max="14" width="10.140625" style="15" customWidth="1"/>
    <col min="15" max="15" width="10" style="15" customWidth="1"/>
    <col min="16" max="16" width="10" style="15" bestFit="1" customWidth="1"/>
    <col min="17" max="17" width="10.140625" style="15" bestFit="1" customWidth="1"/>
    <col min="18" max="16384" width="9.140625" style="15"/>
  </cols>
  <sheetData>
    <row r="1" spans="1:17" x14ac:dyDescent="0.2">
      <c r="A1" s="8" t="s">
        <v>82</v>
      </c>
      <c r="H1" s="13"/>
      <c r="Q1" s="32" t="s">
        <v>45</v>
      </c>
    </row>
    <row r="2" spans="1:17" x14ac:dyDescent="0.2">
      <c r="A2" s="14" t="s">
        <v>28</v>
      </c>
    </row>
    <row r="3" spans="1:17" x14ac:dyDescent="0.2">
      <c r="Q3" s="28" t="s">
        <v>34</v>
      </c>
    </row>
    <row r="4" spans="1:17" x14ac:dyDescent="0.2">
      <c r="A4" s="14" t="s">
        <v>41</v>
      </c>
      <c r="B4" s="16"/>
      <c r="C4" s="16"/>
      <c r="D4" s="16"/>
      <c r="E4" s="16"/>
      <c r="F4" s="16"/>
      <c r="G4" s="16"/>
      <c r="H4" s="16" t="s">
        <v>1</v>
      </c>
      <c r="I4" s="16"/>
      <c r="J4" s="16"/>
      <c r="K4" s="37" t="s">
        <v>77</v>
      </c>
      <c r="L4" s="37" t="s">
        <v>75</v>
      </c>
      <c r="M4" s="16"/>
      <c r="N4" s="16"/>
      <c r="O4" s="16" t="s">
        <v>29</v>
      </c>
      <c r="P4" s="37" t="s">
        <v>77</v>
      </c>
      <c r="Q4" s="37" t="s">
        <v>75</v>
      </c>
    </row>
    <row r="5" spans="1:17" x14ac:dyDescent="0.2">
      <c r="B5" s="16" t="s">
        <v>2</v>
      </c>
      <c r="C5" s="16"/>
      <c r="D5" s="16" t="s">
        <v>3</v>
      </c>
      <c r="E5" s="16"/>
      <c r="F5" s="16"/>
      <c r="G5" s="16"/>
      <c r="H5" s="16" t="s">
        <v>4</v>
      </c>
      <c r="I5" s="16" t="s">
        <v>5</v>
      </c>
      <c r="J5" s="16"/>
      <c r="K5" s="37" t="s">
        <v>81</v>
      </c>
      <c r="L5" s="37" t="s">
        <v>81</v>
      </c>
      <c r="M5" s="16"/>
      <c r="N5" s="16" t="s">
        <v>6</v>
      </c>
      <c r="O5" s="16" t="s">
        <v>30</v>
      </c>
      <c r="P5" s="16" t="s">
        <v>48</v>
      </c>
      <c r="Q5" s="16" t="s">
        <v>7</v>
      </c>
    </row>
    <row r="6" spans="1:17" x14ac:dyDescent="0.2">
      <c r="B6" s="17" t="s">
        <v>8</v>
      </c>
      <c r="C6" s="17" t="s">
        <v>9</v>
      </c>
      <c r="D6" s="17" t="s">
        <v>10</v>
      </c>
      <c r="E6" s="17" t="s">
        <v>11</v>
      </c>
      <c r="F6" s="17" t="s">
        <v>12</v>
      </c>
      <c r="G6" s="17" t="s">
        <v>13</v>
      </c>
      <c r="H6" s="17" t="s">
        <v>10</v>
      </c>
      <c r="I6" s="17" t="s">
        <v>15</v>
      </c>
      <c r="J6" s="16" t="s">
        <v>26</v>
      </c>
      <c r="K6" s="37" t="s">
        <v>80</v>
      </c>
      <c r="L6" s="37" t="s">
        <v>80</v>
      </c>
      <c r="M6" s="17" t="s">
        <v>14</v>
      </c>
      <c r="N6" s="17" t="s">
        <v>16</v>
      </c>
      <c r="O6" s="17" t="s">
        <v>10</v>
      </c>
      <c r="P6" s="30" t="s">
        <v>8</v>
      </c>
      <c r="Q6" s="30" t="s">
        <v>8</v>
      </c>
    </row>
    <row r="7" spans="1:17" s="19" customFormat="1" x14ac:dyDescent="0.2">
      <c r="A7" s="5" t="s">
        <v>17</v>
      </c>
      <c r="B7" s="18"/>
      <c r="C7" s="18"/>
      <c r="D7" s="18"/>
      <c r="E7" s="18"/>
      <c r="F7" s="18"/>
      <c r="G7" s="18"/>
      <c r="H7" s="18"/>
      <c r="I7" s="18"/>
      <c r="J7" s="18"/>
      <c r="K7" s="18"/>
      <c r="L7" s="18"/>
      <c r="M7" s="18"/>
      <c r="N7" s="18"/>
      <c r="O7" s="18"/>
      <c r="P7" s="18"/>
      <c r="Q7" s="18"/>
    </row>
    <row r="8" spans="1:17" ht="11.25" customHeight="1" x14ac:dyDescent="0.2">
      <c r="A8" s="8" t="s">
        <v>18</v>
      </c>
      <c r="B8" s="15">
        <f t="shared" ref="B8:Q8" si="0">SUM(B9:B13)</f>
        <v>3611724.0922443997</v>
      </c>
      <c r="C8" s="15">
        <f t="shared" si="0"/>
        <v>35885475.375175662</v>
      </c>
      <c r="D8" s="15">
        <f t="shared" si="0"/>
        <v>16974.755260919999</v>
      </c>
      <c r="E8" s="15">
        <f t="shared" si="0"/>
        <v>58838.727401280004</v>
      </c>
      <c r="F8" s="15">
        <f t="shared" si="0"/>
        <v>5152137.61369929</v>
      </c>
      <c r="G8" s="15">
        <f t="shared" si="0"/>
        <v>3287771.4470216003</v>
      </c>
      <c r="H8" s="15">
        <f t="shared" si="0"/>
        <v>163029.81939620001</v>
      </c>
      <c r="I8" s="15">
        <f t="shared" si="0"/>
        <v>3233138.50671585</v>
      </c>
      <c r="J8" s="15">
        <f t="shared" si="0"/>
        <v>117105.51</v>
      </c>
      <c r="K8" s="15">
        <f t="shared" si="0"/>
        <v>51526195.846915208</v>
      </c>
      <c r="L8" s="15">
        <f t="shared" si="0"/>
        <v>55840827</v>
      </c>
      <c r="M8" s="15">
        <f>SUM(M9:M13)</f>
        <v>145185.26988827999</v>
      </c>
      <c r="N8" s="15">
        <f>SUM(N9:N13)</f>
        <v>1108.2420055000002</v>
      </c>
      <c r="O8" s="15">
        <f>SUM(O9:O13)</f>
        <v>2638992.33</v>
      </c>
      <c r="P8" s="15">
        <f t="shared" si="0"/>
        <v>54311481.688808985</v>
      </c>
      <c r="Q8" s="15">
        <f t="shared" si="0"/>
        <v>58750960</v>
      </c>
    </row>
    <row r="9" spans="1:17" s="7" customFormat="1" ht="11.25" customHeight="1" outlineLevel="1" x14ac:dyDescent="0.2">
      <c r="A9" s="7" t="s">
        <v>19</v>
      </c>
      <c r="B9" s="7">
        <v>2673833.84</v>
      </c>
      <c r="C9" s="7">
        <v>33963554.729999997</v>
      </c>
      <c r="E9" s="7">
        <v>51541.29</v>
      </c>
      <c r="F9" s="7">
        <v>5075467.2</v>
      </c>
      <c r="G9" s="7">
        <v>2488953.52</v>
      </c>
      <c r="H9" s="7">
        <v>8284.7199999999993</v>
      </c>
      <c r="I9" s="7">
        <v>3180054.21</v>
      </c>
      <c r="J9" s="7">
        <v>117105.51</v>
      </c>
      <c r="K9" s="7">
        <f>SUM(B9:J9)</f>
        <v>47558795.019999996</v>
      </c>
      <c r="L9" s="7">
        <f>4688519+35884083+73680+4789790+3230523+1088+3053998+107445</f>
        <v>51829126</v>
      </c>
      <c r="O9" s="7">
        <v>2638992.33</v>
      </c>
      <c r="P9" s="7">
        <f>K9+M9+N9+O9</f>
        <v>50197787.349999994</v>
      </c>
      <c r="Q9" s="7">
        <v>54546030</v>
      </c>
    </row>
    <row r="10" spans="1:17" s="7" customFormat="1" ht="11.25" customHeight="1" outlineLevel="1" x14ac:dyDescent="0.2">
      <c r="A10" s="7" t="s">
        <v>20</v>
      </c>
      <c r="C10" s="7">
        <v>779434.82</v>
      </c>
      <c r="G10" s="7">
        <v>42808.04</v>
      </c>
      <c r="K10" s="7">
        <f>SUM(B10:J10)</f>
        <v>822242.86</v>
      </c>
      <c r="L10" s="7">
        <f>708129+65208+11375</f>
        <v>784712</v>
      </c>
      <c r="P10" s="7">
        <f>K10+M10+N10+O10</f>
        <v>822242.86</v>
      </c>
      <c r="Q10" s="7">
        <v>784711</v>
      </c>
    </row>
    <row r="11" spans="1:17" ht="11.25" customHeight="1" outlineLevel="1" x14ac:dyDescent="0.2">
      <c r="A11" s="15" t="s">
        <v>31</v>
      </c>
      <c r="K11" s="7">
        <f>SUM(B11:J11)</f>
        <v>0</v>
      </c>
      <c r="L11" s="7"/>
      <c r="P11" s="7">
        <f>K11+M11+N11+O11</f>
        <v>0</v>
      </c>
      <c r="Q11" s="15">
        <v>0</v>
      </c>
    </row>
    <row r="12" spans="1:17" outlineLevel="1" x14ac:dyDescent="0.2">
      <c r="A12" s="2" t="s">
        <v>79</v>
      </c>
      <c r="B12" s="15">
        <f>(B16+B17+B21+B22+B26+B27)*0.17962</f>
        <v>937890.25224439998</v>
      </c>
      <c r="C12" s="15">
        <f>(C16+C17+C21+C22+C26+C27)*0.244659</f>
        <v>839285.60517566989</v>
      </c>
      <c r="D12" s="15">
        <f>(D16+D17+D21+D22+D26+D27)*0.365514</f>
        <v>16974.755260919999</v>
      </c>
      <c r="E12" s="15">
        <f>(E16+E17+E21+E22+E26+E27)*0.285454</f>
        <v>7297.4374012799999</v>
      </c>
      <c r="F12" s="15">
        <f>(F16+F17+F21+F22+F26+F27)*0.246579</f>
        <v>76670.413699290002</v>
      </c>
      <c r="G12" s="15">
        <f>(G16+G17+G21+G22+G26+G27)*0.233854</f>
        <v>739357.57702159998</v>
      </c>
      <c r="H12" s="15">
        <f>(H16+H17+H21+H22+H26+H27)*0.047228</f>
        <v>154745.09939620001</v>
      </c>
      <c r="I12" s="15">
        <f>(I16+I17+I21+I22+I26+I27)*0.379065</f>
        <v>53084.296715849996</v>
      </c>
      <c r="J12" s="15">
        <f>(J16+J17+J21+J22+J26+J27)*0.17962</f>
        <v>0</v>
      </c>
      <c r="K12" s="7">
        <f>SUM(B12:J12)</f>
        <v>2825305.4369152095</v>
      </c>
      <c r="L12" s="7">
        <f>383+10492+917376+1237435+2495+6584+91405+485346+136774+33446</f>
        <v>2921736</v>
      </c>
      <c r="M12" s="15">
        <f>(M16+M17+M21+M22+M26+M27)*0.318588</f>
        <v>145185.26988827999</v>
      </c>
      <c r="N12" s="15">
        <f>(N16+N17+N21+N22+N26+N27)*0.54005</f>
        <v>1108.2420055000002</v>
      </c>
      <c r="O12" s="15">
        <f>(O16+O17+O21+O22+O26+O27)*0.17962</f>
        <v>0</v>
      </c>
      <c r="P12" s="7">
        <f>K12+M12+N12+O12</f>
        <v>2971598.9488089895</v>
      </c>
      <c r="Q12" s="15">
        <f>10874+3104092</f>
        <v>3114966</v>
      </c>
    </row>
    <row r="13" spans="1:17" outlineLevel="1" x14ac:dyDescent="0.2">
      <c r="A13" s="15" t="s">
        <v>37</v>
      </c>
      <c r="C13" s="15">
        <v>303200.21999999997</v>
      </c>
      <c r="G13" s="15">
        <v>16652.310000000001</v>
      </c>
      <c r="K13" s="7">
        <f>SUM(B13:J13)</f>
        <v>319852.52999999997</v>
      </c>
      <c r="L13" s="7">
        <f>275462+25366+4425</f>
        <v>305253</v>
      </c>
      <c r="P13" s="7">
        <f>K13+M13+N13+O13</f>
        <v>319852.52999999997</v>
      </c>
      <c r="Q13" s="15">
        <v>305253</v>
      </c>
    </row>
    <row r="15" spans="1:17" x14ac:dyDescent="0.2">
      <c r="A15" s="14" t="s">
        <v>25</v>
      </c>
      <c r="B15" s="15">
        <f t="shared" ref="B15:L15" si="1">SUM(B16:B18)</f>
        <v>123014.5</v>
      </c>
      <c r="C15" s="15">
        <f t="shared" si="1"/>
        <v>1001839.89</v>
      </c>
      <c r="D15" s="15">
        <f t="shared" si="1"/>
        <v>0</v>
      </c>
      <c r="E15" s="15">
        <f t="shared" si="1"/>
        <v>0</v>
      </c>
      <c r="F15" s="15">
        <f t="shared" si="1"/>
        <v>173090.24</v>
      </c>
      <c r="G15" s="15">
        <f t="shared" si="1"/>
        <v>57701.789999999994</v>
      </c>
      <c r="H15" s="15">
        <f t="shared" si="1"/>
        <v>394136</v>
      </c>
      <c r="I15" s="15">
        <f t="shared" si="1"/>
        <v>21082.95</v>
      </c>
      <c r="J15" s="15">
        <f t="shared" si="1"/>
        <v>0</v>
      </c>
      <c r="K15" s="15">
        <f t="shared" si="1"/>
        <v>1770865.3699999999</v>
      </c>
      <c r="L15" s="15">
        <f t="shared" si="1"/>
        <v>1212246</v>
      </c>
      <c r="M15" s="15">
        <f>SUM(M16:M18)</f>
        <v>0</v>
      </c>
      <c r="N15" s="15">
        <f>SUM(N16:N18)</f>
        <v>0</v>
      </c>
      <c r="O15" s="15">
        <f>SUM(O16:O18)</f>
        <v>0</v>
      </c>
      <c r="P15" s="15">
        <f>SUM(P16:P18)</f>
        <v>1770865.3699999999</v>
      </c>
      <c r="Q15" s="15">
        <f>SUM(Q16:Q18)</f>
        <v>1212244</v>
      </c>
    </row>
    <row r="16" spans="1:17" outlineLevel="1" x14ac:dyDescent="0.2">
      <c r="A16" s="15" t="s">
        <v>22</v>
      </c>
      <c r="B16" s="15">
        <v>120465.23</v>
      </c>
      <c r="C16" s="15">
        <f>12271.42+872255.96</f>
        <v>884527.38</v>
      </c>
      <c r="F16" s="15">
        <v>179811.52</v>
      </c>
      <c r="G16" s="15">
        <v>54185.88</v>
      </c>
      <c r="H16" s="15">
        <v>371353.8</v>
      </c>
      <c r="I16" s="15">
        <v>21082.95</v>
      </c>
      <c r="K16" s="7">
        <f>SUM(B16:J16)</f>
        <v>1631426.7599999998</v>
      </c>
      <c r="L16" s="7">
        <f>201262+692574+20325+97853+78435+15970</f>
        <v>1106419</v>
      </c>
      <c r="P16" s="7">
        <f>K16+M16+N16+O16</f>
        <v>1631426.7599999998</v>
      </c>
      <c r="Q16" s="15">
        <v>1106419</v>
      </c>
    </row>
    <row r="17" spans="1:17" outlineLevel="1" x14ac:dyDescent="0.2">
      <c r="A17" s="15" t="s">
        <v>46</v>
      </c>
      <c r="K17" s="7">
        <f>SUM(B17:J17)</f>
        <v>0</v>
      </c>
      <c r="L17" s="7">
        <v>-175</v>
      </c>
      <c r="P17" s="7">
        <f>K17+M17+N17+O17</f>
        <v>0</v>
      </c>
      <c r="Q17" s="15">
        <v>-175</v>
      </c>
    </row>
    <row r="18" spans="1:17" outlineLevel="1" x14ac:dyDescent="0.2">
      <c r="A18" s="15" t="s">
        <v>38</v>
      </c>
      <c r="B18" s="15">
        <v>2549.27</v>
      </c>
      <c r="C18" s="15">
        <f>117312.51</f>
        <v>117312.51</v>
      </c>
      <c r="F18" s="15">
        <v>-6721.28</v>
      </c>
      <c r="G18" s="15">
        <v>3515.91</v>
      </c>
      <c r="H18" s="15">
        <v>22782.2</v>
      </c>
      <c r="K18" s="7">
        <f>SUM(B18:J18)</f>
        <v>139438.61000000002</v>
      </c>
      <c r="L18" s="7">
        <f>2570+83476+16024+3932</f>
        <v>106002</v>
      </c>
      <c r="P18" s="7">
        <f>K18+M18+N18+O18</f>
        <v>139438.61000000002</v>
      </c>
      <c r="Q18" s="15">
        <v>106000</v>
      </c>
    </row>
    <row r="20" spans="1:17" x14ac:dyDescent="0.2">
      <c r="A20" s="14" t="s">
        <v>23</v>
      </c>
      <c r="B20" s="15">
        <f t="shared" ref="B20:Q20" si="2">SUM(B21:B23)</f>
        <v>3740305.21</v>
      </c>
      <c r="C20" s="15">
        <f t="shared" si="2"/>
        <v>2247733.25</v>
      </c>
      <c r="D20" s="15">
        <f t="shared" si="2"/>
        <v>563.61</v>
      </c>
      <c r="E20" s="15">
        <f t="shared" si="2"/>
        <v>24942.92</v>
      </c>
      <c r="F20" s="15">
        <f t="shared" si="2"/>
        <v>138562.78</v>
      </c>
      <c r="G20" s="15">
        <f t="shared" si="2"/>
        <v>1801023.28</v>
      </c>
      <c r="H20" s="15">
        <f t="shared" si="2"/>
        <v>3590366.9000000004</v>
      </c>
      <c r="I20" s="15">
        <f t="shared" si="2"/>
        <v>27502.14</v>
      </c>
      <c r="J20" s="15">
        <f t="shared" si="2"/>
        <v>0</v>
      </c>
      <c r="K20" s="15">
        <f t="shared" si="2"/>
        <v>11571000.090000002</v>
      </c>
      <c r="L20" s="15">
        <f t="shared" si="2"/>
        <v>11132825</v>
      </c>
      <c r="M20" s="15">
        <f>SUM(M21:M23)</f>
        <v>643040.13</v>
      </c>
      <c r="N20" s="15">
        <f>SUM(N21:N23)</f>
        <v>2052.11</v>
      </c>
      <c r="O20" s="15">
        <f>SUM(O21:O23)</f>
        <v>0</v>
      </c>
      <c r="P20" s="15">
        <f t="shared" si="2"/>
        <v>12216092.330000002</v>
      </c>
      <c r="Q20" s="15">
        <f t="shared" si="2"/>
        <v>11849028</v>
      </c>
    </row>
    <row r="21" spans="1:17" outlineLevel="1" x14ac:dyDescent="0.2">
      <c r="A21" s="15" t="s">
        <v>22</v>
      </c>
      <c r="B21" s="15">
        <v>3603191.72</v>
      </c>
      <c r="C21" s="15">
        <f>-537.02+1952146.68</f>
        <v>1951609.66</v>
      </c>
      <c r="D21" s="15">
        <f>563.61</f>
        <v>563.61</v>
      </c>
      <c r="E21" s="15">
        <v>20464.32</v>
      </c>
      <c r="F21" s="15">
        <v>129817.11</v>
      </c>
      <c r="G21" s="15">
        <v>1562027.09</v>
      </c>
      <c r="H21" s="15">
        <v>2863014.47</v>
      </c>
      <c r="I21" s="15">
        <v>25415.48</v>
      </c>
      <c r="K21" s="7">
        <f>SUM(B21:J21)</f>
        <v>10156103.460000001</v>
      </c>
      <c r="L21" s="7">
        <f>3349611+2091439+3891+17065+134241+1400468+2796154+6999</f>
        <v>9799868</v>
      </c>
      <c r="M21" s="15">
        <v>455714.81</v>
      </c>
      <c r="N21" s="15">
        <v>2052.11</v>
      </c>
      <c r="P21" s="7">
        <f>K21+M21+N21+O21</f>
        <v>10613870.380000001</v>
      </c>
      <c r="Q21" s="15">
        <v>10403024</v>
      </c>
    </row>
    <row r="22" spans="1:17" outlineLevel="1" x14ac:dyDescent="0.2">
      <c r="A22" s="15" t="s">
        <v>46</v>
      </c>
      <c r="K22" s="7">
        <f>SUM(B22:J22)</f>
        <v>0</v>
      </c>
      <c r="L22" s="7"/>
      <c r="P22" s="7">
        <f>K22+M22+N22+O22</f>
        <v>0</v>
      </c>
      <c r="Q22" s="15">
        <v>0</v>
      </c>
    </row>
    <row r="23" spans="1:17" outlineLevel="1" x14ac:dyDescent="0.2">
      <c r="A23" s="15" t="s">
        <v>38</v>
      </c>
      <c r="B23" s="15">
        <v>137113.49</v>
      </c>
      <c r="C23" s="15">
        <f>296123.59</f>
        <v>296123.59000000003</v>
      </c>
      <c r="E23" s="15">
        <v>4478.6000000000004</v>
      </c>
      <c r="F23" s="15">
        <v>8745.67</v>
      </c>
      <c r="G23" s="15">
        <v>238996.19</v>
      </c>
      <c r="H23" s="15">
        <v>727352.43</v>
      </c>
      <c r="I23" s="15">
        <v>2086.66</v>
      </c>
      <c r="K23" s="7">
        <f>SUM(B23:J23)</f>
        <v>1414896.6300000001</v>
      </c>
      <c r="L23" s="7">
        <f>196606+268170+3927+9178+182413+671963+700</f>
        <v>1332957</v>
      </c>
      <c r="M23" s="15">
        <v>187325.32</v>
      </c>
      <c r="P23" s="7">
        <f>K23+M23+N23+O23</f>
        <v>1602221.9500000002</v>
      </c>
      <c r="Q23" s="15">
        <v>1446004</v>
      </c>
    </row>
    <row r="25" spans="1:17" x14ac:dyDescent="0.2">
      <c r="A25" s="14" t="s">
        <v>24</v>
      </c>
      <c r="B25" s="15">
        <f t="shared" ref="B25:L25" si="3">SUM(B26:B28)</f>
        <v>1640805.2799999998</v>
      </c>
      <c r="C25" s="15">
        <f t="shared" si="3"/>
        <v>595706.35</v>
      </c>
      <c r="D25" s="15">
        <f t="shared" si="3"/>
        <v>43598.559999999998</v>
      </c>
      <c r="E25" s="15">
        <f t="shared" si="3"/>
        <v>5100</v>
      </c>
      <c r="F25" s="15">
        <f t="shared" si="3"/>
        <v>1307.8800000000001</v>
      </c>
      <c r="G25" s="15">
        <f t="shared" si="3"/>
        <v>1622780.16</v>
      </c>
      <c r="H25" s="15">
        <f t="shared" si="3"/>
        <v>44716.829999999994</v>
      </c>
      <c r="I25" s="15">
        <f t="shared" si="3"/>
        <v>93541.66</v>
      </c>
      <c r="J25" s="15">
        <f t="shared" si="3"/>
        <v>0</v>
      </c>
      <c r="K25" s="15">
        <f t="shared" si="3"/>
        <v>4047556.7199999993</v>
      </c>
      <c r="L25" s="15">
        <f t="shared" si="3"/>
        <v>4856039</v>
      </c>
      <c r="M25" s="15">
        <f>SUM(M26:M28)</f>
        <v>0</v>
      </c>
      <c r="N25" s="15">
        <f>SUM(N26:N28)</f>
        <v>0</v>
      </c>
      <c r="O25" s="15">
        <f>SUM(O26:O28)</f>
        <v>0</v>
      </c>
      <c r="P25" s="15">
        <f>SUM(P26:P28)</f>
        <v>4047556.7199999993</v>
      </c>
      <c r="Q25" s="15">
        <f>SUM(Q26:Q28)</f>
        <v>4856038</v>
      </c>
    </row>
    <row r="26" spans="1:17" outlineLevel="1" x14ac:dyDescent="0.2">
      <c r="A26" s="15" t="s">
        <v>22</v>
      </c>
      <c r="B26" s="15">
        <v>1497867.67</v>
      </c>
      <c r="C26" s="15">
        <f>577016.32+17276.77</f>
        <v>594293.09</v>
      </c>
      <c r="D26" s="15">
        <v>45877.17</v>
      </c>
      <c r="E26" s="15">
        <v>5100</v>
      </c>
      <c r="F26" s="15">
        <v>1307.8800000000001</v>
      </c>
      <c r="G26" s="15">
        <v>1545407.43</v>
      </c>
      <c r="H26" s="15">
        <v>42185.88</v>
      </c>
      <c r="I26" s="15">
        <v>93541.66</v>
      </c>
      <c r="K26" s="7">
        <f>SUM(B26:J26)</f>
        <v>3825580.7799999993</v>
      </c>
      <c r="L26" s="7">
        <f>1558738+2316663+2935+6000+216126+577101+21445+65264</f>
        <v>4764272</v>
      </c>
      <c r="P26" s="7">
        <f>K26+M26+N26+O26</f>
        <v>3825580.7799999993</v>
      </c>
      <c r="Q26" s="15">
        <v>4764271</v>
      </c>
    </row>
    <row r="27" spans="1:17" outlineLevel="1" x14ac:dyDescent="0.2">
      <c r="A27" s="15" t="s">
        <v>46</v>
      </c>
      <c r="K27" s="7">
        <f>SUM(B27:J27)</f>
        <v>0</v>
      </c>
      <c r="L27" s="7"/>
      <c r="P27" s="7">
        <f>K27+M27+N27+O27</f>
        <v>0</v>
      </c>
      <c r="Q27" s="15">
        <v>0</v>
      </c>
    </row>
    <row r="28" spans="1:17" outlineLevel="1" x14ac:dyDescent="0.2">
      <c r="A28" s="15" t="s">
        <v>38</v>
      </c>
      <c r="B28" s="15">
        <v>142937.60999999999</v>
      </c>
      <c r="C28" s="15">
        <v>1413.26</v>
      </c>
      <c r="D28" s="15">
        <v>-2278.61</v>
      </c>
      <c r="G28" s="15">
        <v>77372.73</v>
      </c>
      <c r="H28" s="15">
        <v>2530.9499999999998</v>
      </c>
      <c r="K28" s="7">
        <f>SUM(B28:J28)</f>
        <v>221975.94</v>
      </c>
      <c r="L28" s="7">
        <f>66476+1056+21578+29+2628</f>
        <v>91767</v>
      </c>
      <c r="P28" s="7">
        <f>K28+M28+N28+O28</f>
        <v>221975.94</v>
      </c>
      <c r="Q28" s="15">
        <v>91767</v>
      </c>
    </row>
    <row r="30" spans="1:17" x14ac:dyDescent="0.2">
      <c r="A30" s="14" t="s">
        <v>27</v>
      </c>
      <c r="C30" s="15">
        <v>5648738.9199999999</v>
      </c>
      <c r="K30" s="7">
        <f>SUM(B30:J30)</f>
        <v>5648738.9199999999</v>
      </c>
      <c r="L30" s="7">
        <f>-669+2600302</f>
        <v>2599633</v>
      </c>
      <c r="P30" s="7">
        <f>K30+M30+N30+O30</f>
        <v>5648738.9199999999</v>
      </c>
      <c r="Q30" s="15">
        <v>2599633</v>
      </c>
    </row>
    <row r="31" spans="1:17" x14ac:dyDescent="0.2">
      <c r="A31" s="14"/>
      <c r="P31" s="7"/>
    </row>
    <row r="32" spans="1:17" s="41" customFormat="1" x14ac:dyDescent="0.2">
      <c r="A32" s="38" t="s">
        <v>72</v>
      </c>
      <c r="B32" s="41">
        <f t="shared" ref="B32:I32" si="4">((B18+B23+B28)/(B16+B17+B21+B22+B26+B27))</f>
        <v>5.4122194295044807E-2</v>
      </c>
      <c r="C32" s="41">
        <f t="shared" si="4"/>
        <v>0.12093217010077977</v>
      </c>
      <c r="D32" s="41">
        <f t="shared" si="4"/>
        <v>-4.9064852054595126E-2</v>
      </c>
      <c r="E32" s="41">
        <f t="shared" si="4"/>
        <v>0.17518948284171065</v>
      </c>
      <c r="F32" s="41">
        <f t="shared" si="4"/>
        <v>6.5106217343212612E-3</v>
      </c>
      <c r="G32" s="41">
        <f t="shared" si="4"/>
        <v>0.10117749430007474</v>
      </c>
      <c r="H32" s="41">
        <f t="shared" si="4"/>
        <v>0.22971254114631373</v>
      </c>
      <c r="I32" s="41">
        <f t="shared" si="4"/>
        <v>1.4900447436159174E-2</v>
      </c>
      <c r="J32" s="41">
        <v>0</v>
      </c>
      <c r="K32" s="41">
        <v>0</v>
      </c>
      <c r="L32" s="41">
        <v>0</v>
      </c>
      <c r="M32" s="41">
        <f>((M18+M23+M28)/(M16+M17+M21+M22+M26+M27))</f>
        <v>0.41105822301452088</v>
      </c>
      <c r="N32" s="41">
        <f>((N18+N23+N28)/(N16+N17+N21+N22+N26+N27))</f>
        <v>0</v>
      </c>
      <c r="O32" s="41">
        <v>0</v>
      </c>
      <c r="P32" s="41">
        <f>((P18+P23+P28)/(P16+P17+P21+P22+P26+P27))</f>
        <v>0.12218601309616571</v>
      </c>
      <c r="Q32" s="41">
        <f>((Q18+Q23+Q28)/(Q16+Q17+Q21+Q22+Q26+Q27))</f>
        <v>0.10100882174430528</v>
      </c>
    </row>
    <row r="33" spans="1:17" x14ac:dyDescent="0.2">
      <c r="B33" s="20"/>
      <c r="C33" s="20"/>
      <c r="D33" s="20"/>
      <c r="E33" s="20"/>
      <c r="F33" s="20"/>
      <c r="G33" s="20"/>
      <c r="H33" s="20"/>
      <c r="I33" s="20"/>
      <c r="J33" s="20"/>
      <c r="K33" s="20"/>
      <c r="L33" s="20"/>
      <c r="M33" s="20"/>
      <c r="N33" s="20"/>
      <c r="O33" s="20"/>
      <c r="P33" s="20"/>
      <c r="Q33" s="20"/>
    </row>
    <row r="34" spans="1:17" ht="12" thickBot="1" x14ac:dyDescent="0.25">
      <c r="A34" s="8" t="s">
        <v>7</v>
      </c>
      <c r="B34" s="21">
        <f t="shared" ref="B34:O34" si="5">+B30+B25+B20+B15+B8</f>
        <v>9115849.0822443999</v>
      </c>
      <c r="C34" s="21">
        <f t="shared" si="5"/>
        <v>45379493.785175666</v>
      </c>
      <c r="D34" s="21">
        <f t="shared" si="5"/>
        <v>61136.925260919998</v>
      </c>
      <c r="E34" s="21">
        <f t="shared" si="5"/>
        <v>88881.647401280003</v>
      </c>
      <c r="F34" s="21">
        <f t="shared" si="5"/>
        <v>5465098.5136992903</v>
      </c>
      <c r="G34" s="21">
        <f t="shared" si="5"/>
        <v>6769276.6770216003</v>
      </c>
      <c r="H34" s="21">
        <f t="shared" si="5"/>
        <v>4192249.5493962006</v>
      </c>
      <c r="I34" s="21">
        <f t="shared" si="5"/>
        <v>3375265.25671585</v>
      </c>
      <c r="J34" s="21">
        <f t="shared" si="5"/>
        <v>117105.51</v>
      </c>
      <c r="K34" s="21">
        <f t="shared" si="5"/>
        <v>74564356.946915209</v>
      </c>
      <c r="L34" s="21">
        <f t="shared" si="5"/>
        <v>75641570</v>
      </c>
      <c r="M34" s="21">
        <f t="shared" si="5"/>
        <v>788225.39988827996</v>
      </c>
      <c r="N34" s="21">
        <f t="shared" si="5"/>
        <v>3160.3520055000004</v>
      </c>
      <c r="O34" s="21">
        <f t="shared" si="5"/>
        <v>2638992.33</v>
      </c>
      <c r="P34" s="21">
        <f>+P30+P25+P20+P15+P8</f>
        <v>77994735.028808981</v>
      </c>
      <c r="Q34" s="21">
        <f>+Q30+Q25+Q20+Q15+Q8</f>
        <v>79267903</v>
      </c>
    </row>
    <row r="35" spans="1:17" ht="12" thickTop="1" x14ac:dyDescent="0.2"/>
    <row r="37" spans="1:17" hidden="1" x14ac:dyDescent="0.2">
      <c r="B37" s="26">
        <f t="shared" ref="B37:J37" si="6">B16+B17+B21+B22+B26+B27</f>
        <v>5221524.62</v>
      </c>
      <c r="C37" s="26">
        <f t="shared" si="6"/>
        <v>3430430.13</v>
      </c>
      <c r="D37" s="26">
        <f t="shared" si="6"/>
        <v>46440.78</v>
      </c>
      <c r="E37" s="26">
        <f t="shared" si="6"/>
        <v>25564.32</v>
      </c>
      <c r="F37" s="26">
        <f t="shared" si="6"/>
        <v>310936.51</v>
      </c>
      <c r="G37" s="26">
        <f t="shared" si="6"/>
        <v>3161620.4</v>
      </c>
      <c r="H37" s="26">
        <f t="shared" si="6"/>
        <v>3276554.15</v>
      </c>
      <c r="I37" s="26">
        <f t="shared" si="6"/>
        <v>140040.09</v>
      </c>
      <c r="J37" s="26">
        <f t="shared" si="6"/>
        <v>0</v>
      </c>
      <c r="K37" s="26"/>
      <c r="M37" s="26">
        <f>M16+M17+M21+M22+M26+M27</f>
        <v>455714.81</v>
      </c>
      <c r="N37" s="26">
        <f>N16+N17+N21+N22+N26+N27</f>
        <v>2052.11</v>
      </c>
      <c r="O37" s="26">
        <f>O16+O17+O21+O22+O26+O27</f>
        <v>0</v>
      </c>
    </row>
    <row r="38" spans="1:17" x14ac:dyDescent="0.2">
      <c r="A38" s="8"/>
      <c r="I38" s="8"/>
    </row>
    <row r="40" spans="1:17" x14ac:dyDescent="0.2">
      <c r="B40" s="22"/>
      <c r="C40" s="22"/>
      <c r="D40" s="22"/>
      <c r="E40" s="22"/>
      <c r="F40" s="22"/>
      <c r="G40" s="22"/>
      <c r="H40" s="22"/>
      <c r="M40" s="22"/>
    </row>
    <row r="41" spans="1:17" x14ac:dyDescent="0.2">
      <c r="B41" s="22"/>
      <c r="C41" s="22"/>
      <c r="D41" s="22"/>
      <c r="E41" s="22"/>
      <c r="F41" s="22"/>
      <c r="G41" s="22"/>
      <c r="H41" s="22"/>
      <c r="M41" s="22"/>
    </row>
    <row r="42" spans="1:17" x14ac:dyDescent="0.2">
      <c r="B42" s="22"/>
      <c r="C42" s="22"/>
      <c r="D42" s="22"/>
      <c r="E42" s="22"/>
      <c r="F42" s="22"/>
      <c r="G42" s="22"/>
      <c r="H42" s="22"/>
      <c r="M42" s="22"/>
    </row>
    <row r="43" spans="1:17" x14ac:dyDescent="0.2">
      <c r="B43" s="22"/>
      <c r="C43" s="22"/>
      <c r="D43" s="22"/>
      <c r="E43" s="22"/>
      <c r="F43" s="22"/>
      <c r="G43" s="22"/>
      <c r="H43" s="22"/>
      <c r="I43" s="22"/>
      <c r="J43" s="22"/>
      <c r="K43" s="22"/>
      <c r="L43" s="22"/>
      <c r="M43" s="22"/>
      <c r="N43" s="22"/>
      <c r="O43" s="22"/>
      <c r="P43" s="22"/>
      <c r="Q43" s="22"/>
    </row>
    <row r="44" spans="1:17" hidden="1" x14ac:dyDescent="0.2">
      <c r="I44" s="22"/>
      <c r="J44" s="22"/>
      <c r="K44" s="22"/>
      <c r="L44" s="22"/>
      <c r="N44" s="22"/>
      <c r="O44" s="22"/>
      <c r="P44" s="22"/>
      <c r="Q44" s="22"/>
    </row>
    <row r="45" spans="1:17" hidden="1" x14ac:dyDescent="0.2">
      <c r="I45" s="22"/>
      <c r="J45" s="22"/>
      <c r="K45" s="22"/>
      <c r="L45" s="22"/>
      <c r="N45" s="22"/>
      <c r="O45" s="22"/>
      <c r="P45" s="22"/>
      <c r="Q45" s="22"/>
    </row>
    <row r="46" spans="1:17" hidden="1" x14ac:dyDescent="0.2">
      <c r="I46" s="22"/>
      <c r="N46" s="8" t="s">
        <v>49</v>
      </c>
      <c r="P46" s="27" t="s">
        <v>50</v>
      </c>
      <c r="Q46" s="27" t="s">
        <v>51</v>
      </c>
    </row>
    <row r="47" spans="1:17" hidden="1" x14ac:dyDescent="0.2">
      <c r="I47" s="22"/>
      <c r="J47" s="2"/>
      <c r="K47" s="2"/>
      <c r="L47" s="2"/>
      <c r="N47" s="8"/>
      <c r="O47" s="2"/>
      <c r="P47" s="27" t="s">
        <v>52</v>
      </c>
      <c r="Q47" s="27" t="s">
        <v>53</v>
      </c>
    </row>
    <row r="48" spans="1:17" hidden="1" x14ac:dyDescent="0.2">
      <c r="I48" s="22"/>
      <c r="J48" s="2"/>
      <c r="K48" s="2"/>
      <c r="L48" s="2"/>
      <c r="N48" s="2"/>
      <c r="O48" s="2"/>
    </row>
    <row r="49" spans="9:17" hidden="1" x14ac:dyDescent="0.2">
      <c r="I49" s="22"/>
      <c r="J49" s="12"/>
      <c r="K49" s="12"/>
      <c r="L49" s="12"/>
      <c r="N49" s="2" t="s">
        <v>69</v>
      </c>
      <c r="O49" s="12"/>
      <c r="P49" s="19">
        <f>P9+P10+P11+P30-P58</f>
        <v>56668769.129999995</v>
      </c>
      <c r="Q49" s="15">
        <v>60822383.359999999</v>
      </c>
    </row>
    <row r="50" spans="9:17" hidden="1" x14ac:dyDescent="0.2">
      <c r="I50" s="22"/>
      <c r="J50" s="12"/>
      <c r="K50" s="12"/>
      <c r="L50" s="12"/>
      <c r="N50" s="2" t="s">
        <v>70</v>
      </c>
      <c r="O50" s="12"/>
      <c r="P50" s="35">
        <f>P16+P17+P21+P22+P26+P27</f>
        <v>16070877.92</v>
      </c>
      <c r="Q50" s="20">
        <v>15975643.58</v>
      </c>
    </row>
    <row r="51" spans="9:17" hidden="1" x14ac:dyDescent="0.2">
      <c r="I51" s="22"/>
      <c r="J51" s="12"/>
      <c r="K51" s="12"/>
      <c r="L51" s="12"/>
      <c r="N51" s="2"/>
      <c r="O51" s="12"/>
      <c r="P51" s="29"/>
      <c r="Q51" s="22"/>
    </row>
    <row r="52" spans="9:17" ht="12" hidden="1" thickBot="1" x14ac:dyDescent="0.25">
      <c r="I52" s="22"/>
      <c r="J52" s="12"/>
      <c r="K52" s="12"/>
      <c r="L52" s="12"/>
      <c r="N52" s="2" t="s">
        <v>65</v>
      </c>
      <c r="O52" s="12"/>
      <c r="P52" s="36">
        <f>P49+P50</f>
        <v>72739647.049999997</v>
      </c>
      <c r="Q52" s="21">
        <f>Q49+Q50</f>
        <v>76798026.939999998</v>
      </c>
    </row>
    <row r="53" spans="9:17" ht="12" hidden="1" thickTop="1" x14ac:dyDescent="0.2">
      <c r="I53" s="22"/>
      <c r="J53" s="12"/>
      <c r="K53" s="12"/>
      <c r="L53" s="12"/>
      <c r="N53" s="2"/>
      <c r="O53" s="12"/>
      <c r="P53" s="29"/>
      <c r="Q53" s="22"/>
    </row>
    <row r="54" spans="9:17" hidden="1" x14ac:dyDescent="0.2">
      <c r="I54" s="22"/>
      <c r="J54" s="2"/>
      <c r="K54" s="2"/>
      <c r="L54" s="2"/>
      <c r="N54" s="15" t="s">
        <v>35</v>
      </c>
      <c r="O54" s="2"/>
      <c r="P54" s="19">
        <f>SUM(P12)</f>
        <v>2971598.9488089895</v>
      </c>
      <c r="Q54" s="15">
        <f>SUM(P12)</f>
        <v>2971598.9488089895</v>
      </c>
    </row>
    <row r="55" spans="9:17" hidden="1" x14ac:dyDescent="0.2">
      <c r="I55" s="22"/>
      <c r="J55" s="2"/>
      <c r="K55" s="2"/>
      <c r="L55" s="2"/>
      <c r="N55" s="15" t="s">
        <v>36</v>
      </c>
      <c r="O55" s="2"/>
      <c r="P55" s="29"/>
      <c r="Q55" s="22"/>
    </row>
    <row r="56" spans="9:17" hidden="1" x14ac:dyDescent="0.2">
      <c r="I56" s="22"/>
      <c r="J56" s="2"/>
      <c r="K56" s="2"/>
      <c r="L56" s="2"/>
      <c r="N56" s="15" t="s">
        <v>38</v>
      </c>
      <c r="O56" s="2"/>
      <c r="P56" s="29">
        <f>P28+P18+P23</f>
        <v>1963636.5000000002</v>
      </c>
      <c r="Q56" s="22">
        <f>P28+P18+P23</f>
        <v>1963636.5000000002</v>
      </c>
    </row>
    <row r="57" spans="9:17" hidden="1" x14ac:dyDescent="0.2">
      <c r="I57" s="22"/>
      <c r="J57" s="12"/>
      <c r="K57" s="12"/>
      <c r="L57" s="12"/>
      <c r="N57" s="15" t="s">
        <v>37</v>
      </c>
      <c r="O57" s="12"/>
      <c r="P57" s="29">
        <f>SUM(P13)</f>
        <v>319852.52999999997</v>
      </c>
      <c r="Q57" s="29">
        <f>SUM(P13)</f>
        <v>319852.52999999997</v>
      </c>
    </row>
    <row r="58" spans="9:17" hidden="1" x14ac:dyDescent="0.2">
      <c r="I58" s="22"/>
      <c r="J58" s="12"/>
      <c r="K58" s="12"/>
      <c r="L58" s="12"/>
      <c r="N58" s="2" t="s">
        <v>76</v>
      </c>
      <c r="O58" s="12"/>
      <c r="P58" s="29">
        <v>0</v>
      </c>
      <c r="Q58" s="29">
        <v>0</v>
      </c>
    </row>
    <row r="59" spans="9:17" hidden="1" x14ac:dyDescent="0.2">
      <c r="I59" s="22"/>
      <c r="J59" s="12"/>
      <c r="K59" s="12"/>
      <c r="L59" s="12"/>
      <c r="N59" s="2" t="s">
        <v>59</v>
      </c>
      <c r="O59" s="12"/>
      <c r="P59" s="29">
        <v>0</v>
      </c>
      <c r="Q59" s="29">
        <v>0</v>
      </c>
    </row>
    <row r="60" spans="9:17" hidden="1" x14ac:dyDescent="0.2">
      <c r="I60" s="22"/>
      <c r="J60" s="12"/>
      <c r="K60" s="12"/>
      <c r="L60" s="12"/>
      <c r="N60" s="2" t="s">
        <v>76</v>
      </c>
      <c r="O60" s="12"/>
      <c r="P60" s="29">
        <v>0</v>
      </c>
      <c r="Q60" s="29">
        <v>0</v>
      </c>
    </row>
    <row r="61" spans="9:17" hidden="1" x14ac:dyDescent="0.2">
      <c r="I61" s="22"/>
      <c r="J61" s="12"/>
      <c r="K61" s="12"/>
      <c r="L61" s="12"/>
      <c r="N61" s="2" t="s">
        <v>60</v>
      </c>
      <c r="O61" s="12"/>
      <c r="P61" s="20">
        <v>0</v>
      </c>
      <c r="Q61" s="20">
        <v>0</v>
      </c>
    </row>
    <row r="62" spans="9:17" hidden="1" x14ac:dyDescent="0.2">
      <c r="I62" s="22"/>
      <c r="J62" s="12"/>
      <c r="K62" s="12"/>
      <c r="L62" s="12"/>
      <c r="N62" s="2"/>
      <c r="O62" s="12"/>
    </row>
    <row r="63" spans="9:17" ht="12" hidden="1" thickBot="1" x14ac:dyDescent="0.25">
      <c r="I63" s="22"/>
      <c r="J63" s="12"/>
      <c r="K63" s="12"/>
      <c r="L63" s="12"/>
      <c r="N63" s="2" t="s">
        <v>7</v>
      </c>
      <c r="O63" s="12"/>
      <c r="P63" s="21">
        <f>SUM(P52:P61)</f>
        <v>77994735.028808981</v>
      </c>
      <c r="Q63" s="21">
        <f>SUM(Q52:Q61)</f>
        <v>82053114.918808982</v>
      </c>
    </row>
    <row r="64" spans="9:17" ht="12" hidden="1" thickTop="1" x14ac:dyDescent="0.2">
      <c r="I64" s="22"/>
      <c r="P64" s="15">
        <f>+P34-P63</f>
        <v>0</v>
      </c>
      <c r="Q64" s="15">
        <f>P63-Q63</f>
        <v>-4058379.8900000006</v>
      </c>
    </row>
    <row r="65" spans="10:17" hidden="1" x14ac:dyDescent="0.2">
      <c r="J65" s="22"/>
      <c r="K65" s="22"/>
      <c r="L65" s="22"/>
      <c r="N65" s="22"/>
      <c r="O65" s="22"/>
      <c r="P65" s="22"/>
      <c r="Q65" s="22"/>
    </row>
    <row r="66" spans="10:17" hidden="1" x14ac:dyDescent="0.2"/>
    <row r="67" spans="10:17" hidden="1" x14ac:dyDescent="0.2"/>
  </sheetData>
  <phoneticPr fontId="0" type="noConversion"/>
  <printOptions horizontalCentered="1" verticalCentered="1"/>
  <pageMargins left="0" right="0" top="0.5" bottom="0.5" header="0.25" footer="0.25"/>
  <pageSetup scale="79" orientation="landscape" horizontalDpi="4294967292" r:id="rId1"/>
  <headerFooter alignWithMargins="0">
    <oddHeader>&amp;L11/04/15
&amp;C&amp;F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6"/>
  <sheetViews>
    <sheetView tabSelected="1" topLeftCell="A47" workbookViewId="0">
      <pane xSplit="1" topLeftCell="B1" activePane="topRight" state="frozen"/>
      <selection activeCell="A46" sqref="A46"/>
      <selection pane="topRight" activeCell="A56" sqref="A56"/>
    </sheetView>
  </sheetViews>
  <sheetFormatPr defaultRowHeight="11.25" outlineLevelRow="1" x14ac:dyDescent="0.2"/>
  <cols>
    <col min="1" max="1" width="19" style="45" customWidth="1"/>
    <col min="2" max="2" width="10.5703125" style="45" customWidth="1"/>
    <col min="3" max="3" width="9.85546875" style="45" bestFit="1" customWidth="1"/>
    <col min="4" max="4" width="10.5703125" style="45" customWidth="1"/>
    <col min="5" max="5" width="10.28515625" style="45" customWidth="1"/>
    <col min="6" max="6" width="9.7109375" style="45" customWidth="1"/>
    <col min="7" max="7" width="10.5703125" style="45" customWidth="1"/>
    <col min="8" max="8" width="11.140625" style="45" customWidth="1"/>
    <col min="9" max="11" width="10.140625" style="45" customWidth="1"/>
    <col min="12" max="13" width="9.7109375" style="45" customWidth="1"/>
    <col min="14" max="14" width="11.7109375" style="45" customWidth="1"/>
    <col min="15" max="15" width="9.5703125" style="48" bestFit="1" customWidth="1"/>
    <col min="16" max="16384" width="9.140625" style="45"/>
  </cols>
  <sheetData>
    <row r="1" spans="1:15" x14ac:dyDescent="0.2">
      <c r="A1" s="44" t="s">
        <v>82</v>
      </c>
      <c r="H1" s="46"/>
      <c r="N1" s="47" t="s">
        <v>83</v>
      </c>
    </row>
    <row r="2" spans="1:15" x14ac:dyDescent="0.2">
      <c r="A2" s="44" t="s">
        <v>0</v>
      </c>
    </row>
    <row r="3" spans="1:15" x14ac:dyDescent="0.2">
      <c r="L3" s="49"/>
    </row>
    <row r="4" spans="1:15" x14ac:dyDescent="0.2">
      <c r="A4" s="44" t="s">
        <v>84</v>
      </c>
      <c r="B4" s="50"/>
      <c r="C4" s="50"/>
      <c r="D4" s="50"/>
      <c r="E4" s="50"/>
      <c r="F4" s="50"/>
      <c r="G4" s="50"/>
      <c r="H4" s="50" t="s">
        <v>1</v>
      </c>
      <c r="I4" s="50"/>
      <c r="J4" s="50"/>
      <c r="K4" s="50"/>
      <c r="L4" s="51" t="s">
        <v>29</v>
      </c>
      <c r="M4" s="50"/>
      <c r="N4" s="50" t="s">
        <v>99</v>
      </c>
    </row>
    <row r="5" spans="1:15" x14ac:dyDescent="0.2">
      <c r="B5" s="50" t="s">
        <v>2</v>
      </c>
      <c r="C5" s="50"/>
      <c r="D5" s="50" t="s">
        <v>3</v>
      </c>
      <c r="E5" s="50"/>
      <c r="F5" s="50"/>
      <c r="G5" s="50"/>
      <c r="H5" s="50" t="s">
        <v>4</v>
      </c>
      <c r="I5" s="50"/>
      <c r="J5" s="50" t="s">
        <v>5</v>
      </c>
      <c r="K5" s="50" t="s">
        <v>6</v>
      </c>
      <c r="L5" s="51" t="s">
        <v>30</v>
      </c>
      <c r="M5" s="50"/>
      <c r="N5" s="50" t="s">
        <v>7</v>
      </c>
    </row>
    <row r="6" spans="1:15" x14ac:dyDescent="0.2">
      <c r="B6" s="52" t="s">
        <v>8</v>
      </c>
      <c r="C6" s="52" t="s">
        <v>9</v>
      </c>
      <c r="D6" s="52" t="s">
        <v>10</v>
      </c>
      <c r="E6" s="52" t="s">
        <v>11</v>
      </c>
      <c r="F6" s="52" t="s">
        <v>12</v>
      </c>
      <c r="G6" s="52" t="s">
        <v>13</v>
      </c>
      <c r="H6" s="52" t="s">
        <v>10</v>
      </c>
      <c r="I6" s="52" t="s">
        <v>14</v>
      </c>
      <c r="J6" s="52" t="s">
        <v>15</v>
      </c>
      <c r="K6" s="52" t="s">
        <v>16</v>
      </c>
      <c r="L6" s="53" t="s">
        <v>10</v>
      </c>
      <c r="M6" s="52" t="s">
        <v>26</v>
      </c>
      <c r="N6" s="52" t="s">
        <v>8</v>
      </c>
    </row>
    <row r="7" spans="1:15" s="54" customFormat="1" outlineLevel="1" x14ac:dyDescent="0.2">
      <c r="A7" s="54" t="s">
        <v>86</v>
      </c>
      <c r="B7" s="54">
        <f t="shared" ref="B7:M7" si="0">B20+B33+B46</f>
        <v>5685978.1799999997</v>
      </c>
      <c r="C7" s="54">
        <f t="shared" si="0"/>
        <v>2908340.2</v>
      </c>
      <c r="D7" s="54">
        <f t="shared" si="0"/>
        <v>0</v>
      </c>
      <c r="E7" s="54">
        <f t="shared" si="0"/>
        <v>0</v>
      </c>
      <c r="F7" s="54">
        <f t="shared" si="0"/>
        <v>109269.49</v>
      </c>
      <c r="G7" s="54">
        <f t="shared" si="0"/>
        <v>448990.27</v>
      </c>
      <c r="H7" s="54">
        <f t="shared" si="0"/>
        <v>0</v>
      </c>
      <c r="I7" s="54">
        <f t="shared" si="0"/>
        <v>212102.24</v>
      </c>
      <c r="J7" s="54">
        <f t="shared" si="0"/>
        <v>2089619.2299999997</v>
      </c>
      <c r="K7" s="54">
        <f t="shared" si="0"/>
        <v>10783661.58</v>
      </c>
      <c r="L7" s="54">
        <f t="shared" si="0"/>
        <v>20417465.52</v>
      </c>
      <c r="M7" s="54">
        <f t="shared" si="0"/>
        <v>684674.76</v>
      </c>
      <c r="N7" s="45">
        <f>SUM(B7:M7)</f>
        <v>43340101.469999991</v>
      </c>
      <c r="O7" s="55"/>
    </row>
    <row r="8" spans="1:15" s="54" customFormat="1" outlineLevel="1" x14ac:dyDescent="0.2">
      <c r="A8" s="54" t="s">
        <v>87</v>
      </c>
      <c r="B8" s="54">
        <f t="shared" ref="B8:M8" si="1">B21+B34+B47</f>
        <v>6126.25</v>
      </c>
      <c r="C8" s="54">
        <f t="shared" si="1"/>
        <v>0</v>
      </c>
      <c r="D8" s="54">
        <f t="shared" si="1"/>
        <v>0</v>
      </c>
      <c r="E8" s="54">
        <f t="shared" si="1"/>
        <v>0</v>
      </c>
      <c r="F8" s="54">
        <f t="shared" si="1"/>
        <v>9376.82</v>
      </c>
      <c r="G8" s="54">
        <f t="shared" si="1"/>
        <v>301278.31</v>
      </c>
      <c r="H8" s="54">
        <f t="shared" si="1"/>
        <v>379</v>
      </c>
      <c r="I8" s="54">
        <f t="shared" si="1"/>
        <v>0</v>
      </c>
      <c r="J8" s="54">
        <f t="shared" si="1"/>
        <v>351219.56999999995</v>
      </c>
      <c r="K8" s="54">
        <f t="shared" si="1"/>
        <v>0</v>
      </c>
      <c r="L8" s="54">
        <f t="shared" si="1"/>
        <v>0</v>
      </c>
      <c r="M8" s="54">
        <f t="shared" si="1"/>
        <v>0</v>
      </c>
      <c r="N8" s="45">
        <f>SUM(B8:M8)</f>
        <v>668379.94999999995</v>
      </c>
      <c r="O8" s="55"/>
    </row>
    <row r="9" spans="1:15" s="54" customFormat="1" outlineLevel="1" x14ac:dyDescent="0.2">
      <c r="A9" s="54" t="s">
        <v>88</v>
      </c>
      <c r="B9" s="54">
        <f t="shared" ref="B9:M9" si="2">B22+B35+B48</f>
        <v>0</v>
      </c>
      <c r="C9" s="54">
        <f t="shared" si="2"/>
        <v>0</v>
      </c>
      <c r="D9" s="54">
        <f t="shared" si="2"/>
        <v>0</v>
      </c>
      <c r="E9" s="54">
        <f t="shared" si="2"/>
        <v>0</v>
      </c>
      <c r="F9" s="54">
        <f t="shared" si="2"/>
        <v>0</v>
      </c>
      <c r="G9" s="54">
        <f t="shared" si="2"/>
        <v>657192.76</v>
      </c>
      <c r="H9" s="54">
        <f t="shared" si="2"/>
        <v>0</v>
      </c>
      <c r="I9" s="54">
        <f t="shared" si="2"/>
        <v>220473</v>
      </c>
      <c r="J9" s="54">
        <f t="shared" si="2"/>
        <v>0</v>
      </c>
      <c r="K9" s="54">
        <f t="shared" si="2"/>
        <v>0</v>
      </c>
      <c r="L9" s="54">
        <f t="shared" si="2"/>
        <v>0</v>
      </c>
      <c r="M9" s="54">
        <f t="shared" si="2"/>
        <v>0</v>
      </c>
      <c r="N9" s="45">
        <f>SUM(B9:M9)</f>
        <v>877665.76</v>
      </c>
      <c r="O9" s="55"/>
    </row>
    <row r="10" spans="1:15" ht="12" thickBot="1" x14ac:dyDescent="0.25">
      <c r="A10" s="44" t="s">
        <v>7</v>
      </c>
      <c r="B10" s="57">
        <f t="shared" ref="B10:M10" si="3">SUM(B7:B9)</f>
        <v>5692104.4299999997</v>
      </c>
      <c r="C10" s="57">
        <f t="shared" si="3"/>
        <v>2908340.2</v>
      </c>
      <c r="D10" s="57">
        <f t="shared" si="3"/>
        <v>0</v>
      </c>
      <c r="E10" s="57">
        <f t="shared" si="3"/>
        <v>0</v>
      </c>
      <c r="F10" s="57">
        <f t="shared" si="3"/>
        <v>118646.31</v>
      </c>
      <c r="G10" s="57">
        <f t="shared" si="3"/>
        <v>1407461.34</v>
      </c>
      <c r="H10" s="57">
        <f t="shared" si="3"/>
        <v>379</v>
      </c>
      <c r="I10" s="57">
        <f t="shared" si="3"/>
        <v>432575.24</v>
      </c>
      <c r="J10" s="57">
        <f t="shared" si="3"/>
        <v>2440838.7999999998</v>
      </c>
      <c r="K10" s="57">
        <f t="shared" si="3"/>
        <v>10783661.58</v>
      </c>
      <c r="L10" s="57">
        <f t="shared" si="3"/>
        <v>20417465.52</v>
      </c>
      <c r="M10" s="57">
        <f t="shared" si="3"/>
        <v>684674.76</v>
      </c>
      <c r="N10" s="57">
        <f>SUM(B10:M10)</f>
        <v>44886147.18</v>
      </c>
    </row>
    <row r="11" spans="1:15" ht="12" thickTop="1" x14ac:dyDescent="0.2"/>
    <row r="13" spans="1:15" x14ac:dyDescent="0.2">
      <c r="A13" s="44"/>
    </row>
    <row r="14" spans="1:15" x14ac:dyDescent="0.2">
      <c r="A14" s="44" t="s">
        <v>82</v>
      </c>
      <c r="H14" s="46"/>
      <c r="N14" s="47" t="s">
        <v>89</v>
      </c>
    </row>
    <row r="15" spans="1:15" x14ac:dyDescent="0.2">
      <c r="A15" s="44" t="s">
        <v>90</v>
      </c>
    </row>
    <row r="16" spans="1:15" x14ac:dyDescent="0.2">
      <c r="L16" s="49"/>
    </row>
    <row r="17" spans="1:15" x14ac:dyDescent="0.2">
      <c r="A17" s="44" t="s">
        <v>91</v>
      </c>
      <c r="B17" s="50"/>
      <c r="C17" s="50"/>
      <c r="D17" s="50"/>
      <c r="E17" s="50"/>
      <c r="F17" s="50"/>
      <c r="G17" s="50"/>
      <c r="H17" s="50" t="s">
        <v>1</v>
      </c>
      <c r="I17" s="50"/>
      <c r="J17" s="50"/>
      <c r="K17" s="50"/>
      <c r="L17" s="51" t="s">
        <v>29</v>
      </c>
      <c r="M17" s="50"/>
      <c r="N17" s="50" t="s">
        <v>99</v>
      </c>
    </row>
    <row r="18" spans="1:15" x14ac:dyDescent="0.2">
      <c r="B18" s="50" t="s">
        <v>2</v>
      </c>
      <c r="C18" s="50"/>
      <c r="D18" s="50" t="s">
        <v>3</v>
      </c>
      <c r="E18" s="50"/>
      <c r="F18" s="50"/>
      <c r="G18" s="50"/>
      <c r="H18" s="50" t="s">
        <v>4</v>
      </c>
      <c r="I18" s="50"/>
      <c r="J18" s="50" t="s">
        <v>5</v>
      </c>
      <c r="K18" s="50" t="s">
        <v>6</v>
      </c>
      <c r="L18" s="51" t="s">
        <v>30</v>
      </c>
      <c r="M18" s="50"/>
      <c r="N18" s="50" t="s">
        <v>7</v>
      </c>
    </row>
    <row r="19" spans="1:15" x14ac:dyDescent="0.2">
      <c r="B19" s="52" t="s">
        <v>8</v>
      </c>
      <c r="C19" s="52" t="s">
        <v>9</v>
      </c>
      <c r="D19" s="52" t="s">
        <v>10</v>
      </c>
      <c r="E19" s="52" t="s">
        <v>11</v>
      </c>
      <c r="F19" s="52" t="s">
        <v>12</v>
      </c>
      <c r="G19" s="52" t="s">
        <v>13</v>
      </c>
      <c r="H19" s="52" t="s">
        <v>10</v>
      </c>
      <c r="I19" s="52" t="s">
        <v>14</v>
      </c>
      <c r="J19" s="52" t="s">
        <v>15</v>
      </c>
      <c r="K19" s="52" t="s">
        <v>16</v>
      </c>
      <c r="L19" s="53" t="s">
        <v>10</v>
      </c>
      <c r="M19" s="52" t="s">
        <v>26</v>
      </c>
      <c r="N19" s="52" t="s">
        <v>8</v>
      </c>
    </row>
    <row r="20" spans="1:15" s="54" customFormat="1" outlineLevel="1" x14ac:dyDescent="0.2">
      <c r="A20" s="54" t="s">
        <v>86</v>
      </c>
      <c r="B20" s="54">
        <v>1426573.21</v>
      </c>
      <c r="C20" s="54">
        <v>913280.62</v>
      </c>
      <c r="G20" s="54">
        <v>98663.91</v>
      </c>
      <c r="J20" s="54">
        <v>258649.63</v>
      </c>
      <c r="L20" s="54">
        <v>150000</v>
      </c>
      <c r="M20" s="54">
        <v>394998.76</v>
      </c>
      <c r="N20" s="45">
        <f>SUM(B20:M20)</f>
        <v>3242166.13</v>
      </c>
      <c r="O20" s="55"/>
    </row>
    <row r="21" spans="1:15" s="54" customFormat="1" outlineLevel="1" x14ac:dyDescent="0.2">
      <c r="A21" s="54" t="s">
        <v>87</v>
      </c>
      <c r="B21" s="54">
        <v>6126.25</v>
      </c>
      <c r="F21" s="54">
        <v>9376.82</v>
      </c>
      <c r="G21" s="54">
        <v>301278.31</v>
      </c>
      <c r="J21" s="54">
        <v>340541.6</v>
      </c>
      <c r="N21" s="45">
        <f>SUM(B21:M21)</f>
        <v>657322.98</v>
      </c>
      <c r="O21" s="55"/>
    </row>
    <row r="22" spans="1:15" s="54" customFormat="1" outlineLevel="1" x14ac:dyDescent="0.2">
      <c r="A22" s="54" t="s">
        <v>88</v>
      </c>
      <c r="G22" s="54">
        <v>623692.76</v>
      </c>
      <c r="N22" s="45">
        <f>SUM(B22:M22)</f>
        <v>623692.76</v>
      </c>
      <c r="O22" s="55"/>
    </row>
    <row r="23" spans="1:15" ht="12" thickBot="1" x14ac:dyDescent="0.25">
      <c r="A23" s="44" t="s">
        <v>7</v>
      </c>
      <c r="B23" s="57">
        <f t="shared" ref="B23:M23" si="4">SUM(B20:B22)</f>
        <v>1432699.46</v>
      </c>
      <c r="C23" s="57">
        <f t="shared" si="4"/>
        <v>913280.62</v>
      </c>
      <c r="D23" s="57">
        <f t="shared" si="4"/>
        <v>0</v>
      </c>
      <c r="E23" s="57">
        <f t="shared" si="4"/>
        <v>0</v>
      </c>
      <c r="F23" s="57">
        <f t="shared" si="4"/>
        <v>9376.82</v>
      </c>
      <c r="G23" s="57">
        <f t="shared" si="4"/>
        <v>1023634.98</v>
      </c>
      <c r="H23" s="57">
        <f t="shared" si="4"/>
        <v>0</v>
      </c>
      <c r="I23" s="57">
        <f t="shared" si="4"/>
        <v>0</v>
      </c>
      <c r="J23" s="57">
        <f t="shared" si="4"/>
        <v>599191.23</v>
      </c>
      <c r="K23" s="57">
        <f t="shared" si="4"/>
        <v>0</v>
      </c>
      <c r="L23" s="57">
        <f t="shared" si="4"/>
        <v>150000</v>
      </c>
      <c r="M23" s="57">
        <f t="shared" si="4"/>
        <v>394998.76</v>
      </c>
      <c r="N23" s="57">
        <f>SUM(B23:M23)</f>
        <v>4523181.87</v>
      </c>
    </row>
    <row r="24" spans="1:15" ht="12" thickTop="1" x14ac:dyDescent="0.2">
      <c r="B24" s="49"/>
      <c r="C24" s="49"/>
      <c r="D24" s="49"/>
      <c r="E24" s="49"/>
      <c r="F24" s="49"/>
      <c r="G24" s="49"/>
      <c r="H24" s="49"/>
      <c r="I24" s="49"/>
      <c r="J24" s="49"/>
      <c r="N24" s="49"/>
    </row>
    <row r="25" spans="1:15" x14ac:dyDescent="0.2">
      <c r="B25" s="49"/>
      <c r="C25" s="49"/>
      <c r="D25" s="49"/>
      <c r="E25" s="49"/>
      <c r="F25" s="49"/>
      <c r="G25" s="49"/>
      <c r="H25" s="49"/>
      <c r="I25" s="49"/>
      <c r="J25" s="49"/>
      <c r="N25" s="49"/>
    </row>
    <row r="26" spans="1:15" x14ac:dyDescent="0.2">
      <c r="B26" s="49"/>
      <c r="C26" s="49"/>
      <c r="D26" s="49"/>
      <c r="E26" s="49"/>
      <c r="F26" s="49"/>
      <c r="G26" s="49"/>
      <c r="H26" s="49"/>
      <c r="I26" s="49"/>
      <c r="J26" s="49"/>
      <c r="L26" s="49"/>
      <c r="M26" s="49"/>
      <c r="N26" s="49"/>
    </row>
    <row r="27" spans="1:15" x14ac:dyDescent="0.2">
      <c r="A27" s="44" t="s">
        <v>82</v>
      </c>
      <c r="H27" s="46"/>
      <c r="N27" s="47" t="s">
        <v>92</v>
      </c>
    </row>
    <row r="28" spans="1:15" x14ac:dyDescent="0.2">
      <c r="A28" s="44" t="s">
        <v>32</v>
      </c>
    </row>
    <row r="29" spans="1:15" x14ac:dyDescent="0.2">
      <c r="L29" s="49"/>
    </row>
    <row r="30" spans="1:15" x14ac:dyDescent="0.2">
      <c r="A30" s="44" t="s">
        <v>93</v>
      </c>
      <c r="B30" s="50"/>
      <c r="C30" s="50"/>
      <c r="D30" s="50"/>
      <c r="E30" s="50"/>
      <c r="F30" s="50"/>
      <c r="G30" s="50"/>
      <c r="H30" s="50" t="s">
        <v>1</v>
      </c>
      <c r="I30" s="50"/>
      <c r="J30" s="50"/>
      <c r="K30" s="50"/>
      <c r="L30" s="51" t="s">
        <v>29</v>
      </c>
      <c r="M30" s="50"/>
      <c r="N30" s="50" t="s">
        <v>99</v>
      </c>
    </row>
    <row r="31" spans="1:15" x14ac:dyDescent="0.2">
      <c r="B31" s="50" t="s">
        <v>2</v>
      </c>
      <c r="C31" s="50"/>
      <c r="D31" s="50" t="s">
        <v>3</v>
      </c>
      <c r="E31" s="50"/>
      <c r="F31" s="50"/>
      <c r="G31" s="50"/>
      <c r="H31" s="50" t="s">
        <v>4</v>
      </c>
      <c r="I31" s="50"/>
      <c r="J31" s="50" t="s">
        <v>5</v>
      </c>
      <c r="K31" s="50" t="s">
        <v>6</v>
      </c>
      <c r="L31" s="51" t="s">
        <v>30</v>
      </c>
      <c r="M31" s="50"/>
      <c r="N31" s="50" t="s">
        <v>7</v>
      </c>
    </row>
    <row r="32" spans="1:15" x14ac:dyDescent="0.2">
      <c r="B32" s="52" t="s">
        <v>8</v>
      </c>
      <c r="C32" s="52" t="s">
        <v>9</v>
      </c>
      <c r="D32" s="52" t="s">
        <v>10</v>
      </c>
      <c r="E32" s="52" t="s">
        <v>11</v>
      </c>
      <c r="F32" s="52" t="s">
        <v>12</v>
      </c>
      <c r="G32" s="52" t="s">
        <v>13</v>
      </c>
      <c r="H32" s="52" t="s">
        <v>10</v>
      </c>
      <c r="I32" s="52" t="s">
        <v>14</v>
      </c>
      <c r="J32" s="52" t="s">
        <v>15</v>
      </c>
      <c r="K32" s="52" t="s">
        <v>16</v>
      </c>
      <c r="L32" s="53" t="s">
        <v>10</v>
      </c>
      <c r="M32" s="52" t="s">
        <v>26</v>
      </c>
      <c r="N32" s="52" t="s">
        <v>8</v>
      </c>
    </row>
    <row r="33" spans="1:15" s="54" customFormat="1" outlineLevel="1" x14ac:dyDescent="0.2">
      <c r="A33" s="54" t="s">
        <v>86</v>
      </c>
      <c r="B33" s="54">
        <v>2124305.14</v>
      </c>
      <c r="C33" s="54">
        <v>1987753.46</v>
      </c>
      <c r="F33" s="54">
        <v>109269.49</v>
      </c>
      <c r="G33" s="54">
        <v>34698.29</v>
      </c>
      <c r="I33" s="54">
        <v>212102.24</v>
      </c>
      <c r="J33" s="54">
        <v>1513971.94</v>
      </c>
      <c r="K33" s="54">
        <v>10783661.58</v>
      </c>
      <c r="L33" s="54">
        <v>18767646.859999999</v>
      </c>
      <c r="M33" s="54">
        <v>289676</v>
      </c>
      <c r="N33" s="45">
        <f>SUM(B33:M33)</f>
        <v>35823085</v>
      </c>
      <c r="O33" s="55"/>
    </row>
    <row r="34" spans="1:15" s="54" customFormat="1" outlineLevel="1" x14ac:dyDescent="0.2">
      <c r="A34" s="54" t="s">
        <v>87</v>
      </c>
      <c r="J34" s="54">
        <v>3983.97</v>
      </c>
      <c r="N34" s="45">
        <f>SUM(B34:M34)</f>
        <v>3983.97</v>
      </c>
      <c r="O34" s="55"/>
    </row>
    <row r="35" spans="1:15" s="54" customFormat="1" outlineLevel="1" x14ac:dyDescent="0.2">
      <c r="A35" s="54" t="s">
        <v>88</v>
      </c>
      <c r="B35" s="87"/>
      <c r="C35" s="87"/>
      <c r="D35" s="87"/>
      <c r="E35" s="87"/>
      <c r="F35" s="87"/>
      <c r="G35" s="87"/>
      <c r="H35" s="87"/>
      <c r="I35" s="87">
        <v>220473</v>
      </c>
      <c r="J35" s="87"/>
      <c r="K35" s="87"/>
      <c r="L35" s="87"/>
      <c r="M35" s="87"/>
      <c r="N35" s="56">
        <f>SUM(B35:M35)</f>
        <v>220473</v>
      </c>
      <c r="O35" s="55"/>
    </row>
    <row r="36" spans="1:15" ht="12" thickBot="1" x14ac:dyDescent="0.25">
      <c r="A36" s="44" t="s">
        <v>7</v>
      </c>
      <c r="B36" s="57">
        <f t="shared" ref="B36:M36" si="5">SUM(B33:B35)</f>
        <v>2124305.14</v>
      </c>
      <c r="C36" s="57">
        <f t="shared" si="5"/>
        <v>1987753.46</v>
      </c>
      <c r="D36" s="57">
        <f t="shared" si="5"/>
        <v>0</v>
      </c>
      <c r="E36" s="57">
        <f t="shared" si="5"/>
        <v>0</v>
      </c>
      <c r="F36" s="57">
        <f t="shared" si="5"/>
        <v>109269.49</v>
      </c>
      <c r="G36" s="57">
        <f t="shared" si="5"/>
        <v>34698.29</v>
      </c>
      <c r="H36" s="57">
        <f t="shared" si="5"/>
        <v>0</v>
      </c>
      <c r="I36" s="57">
        <f t="shared" si="5"/>
        <v>432575.24</v>
      </c>
      <c r="J36" s="57">
        <f t="shared" si="5"/>
        <v>1517955.91</v>
      </c>
      <c r="K36" s="57">
        <f t="shared" si="5"/>
        <v>10783661.58</v>
      </c>
      <c r="L36" s="57">
        <f t="shared" si="5"/>
        <v>18767646.859999999</v>
      </c>
      <c r="M36" s="57">
        <f t="shared" si="5"/>
        <v>289676</v>
      </c>
      <c r="N36" s="57">
        <f>SUM(B36:M36)</f>
        <v>36047541.969999999</v>
      </c>
    </row>
    <row r="37" spans="1:15" ht="11.25" customHeight="1" thickTop="1" x14ac:dyDescent="0.2"/>
    <row r="40" spans="1:15" x14ac:dyDescent="0.2">
      <c r="A40" s="44" t="s">
        <v>82</v>
      </c>
      <c r="H40" s="46"/>
      <c r="N40" s="47" t="s">
        <v>94</v>
      </c>
    </row>
    <row r="41" spans="1:15" x14ac:dyDescent="0.2">
      <c r="A41" s="44" t="s">
        <v>28</v>
      </c>
    </row>
    <row r="42" spans="1:15" x14ac:dyDescent="0.2">
      <c r="L42" s="49"/>
    </row>
    <row r="43" spans="1:15" x14ac:dyDescent="0.2">
      <c r="A43" s="44" t="s">
        <v>93</v>
      </c>
      <c r="B43" s="50"/>
      <c r="C43" s="50"/>
      <c r="D43" s="50"/>
      <c r="E43" s="50"/>
      <c r="F43" s="50"/>
      <c r="G43" s="50"/>
      <c r="H43" s="50" t="s">
        <v>1</v>
      </c>
      <c r="I43" s="50"/>
      <c r="J43" s="50"/>
      <c r="K43" s="50"/>
      <c r="L43" s="51" t="s">
        <v>29</v>
      </c>
      <c r="M43" s="50"/>
      <c r="N43" s="50" t="s">
        <v>99</v>
      </c>
    </row>
    <row r="44" spans="1:15" x14ac:dyDescent="0.2">
      <c r="B44" s="50" t="s">
        <v>2</v>
      </c>
      <c r="C44" s="50"/>
      <c r="D44" s="50" t="s">
        <v>3</v>
      </c>
      <c r="E44" s="50"/>
      <c r="F44" s="50"/>
      <c r="G44" s="50"/>
      <c r="H44" s="50" t="s">
        <v>4</v>
      </c>
      <c r="I44" s="50"/>
      <c r="J44" s="50" t="s">
        <v>5</v>
      </c>
      <c r="K44" s="50" t="s">
        <v>6</v>
      </c>
      <c r="L44" s="51" t="s">
        <v>30</v>
      </c>
      <c r="M44" s="50"/>
      <c r="N44" s="50" t="s">
        <v>7</v>
      </c>
    </row>
    <row r="45" spans="1:15" x14ac:dyDescent="0.2">
      <c r="B45" s="52" t="s">
        <v>8</v>
      </c>
      <c r="C45" s="52" t="s">
        <v>9</v>
      </c>
      <c r="D45" s="52" t="s">
        <v>10</v>
      </c>
      <c r="E45" s="52" t="s">
        <v>11</v>
      </c>
      <c r="F45" s="52" t="s">
        <v>12</v>
      </c>
      <c r="G45" s="52" t="s">
        <v>13</v>
      </c>
      <c r="H45" s="52" t="s">
        <v>10</v>
      </c>
      <c r="I45" s="52" t="s">
        <v>14</v>
      </c>
      <c r="J45" s="52" t="s">
        <v>15</v>
      </c>
      <c r="K45" s="52" t="s">
        <v>16</v>
      </c>
      <c r="L45" s="53" t="s">
        <v>10</v>
      </c>
      <c r="M45" s="52" t="s">
        <v>26</v>
      </c>
      <c r="N45" s="52" t="s">
        <v>8</v>
      </c>
    </row>
    <row r="46" spans="1:15" s="54" customFormat="1" outlineLevel="1" x14ac:dyDescent="0.2">
      <c r="A46" s="54" t="s">
        <v>86</v>
      </c>
      <c r="B46" s="54">
        <v>2135099.83</v>
      </c>
      <c r="C46" s="54">
        <v>7306.12</v>
      </c>
      <c r="G46" s="54">
        <v>315628.07</v>
      </c>
      <c r="J46" s="54">
        <v>316997.65999999997</v>
      </c>
      <c r="L46" s="54">
        <v>1499818.66</v>
      </c>
      <c r="N46" s="45">
        <f>SUM(B46:M46)</f>
        <v>4274850.34</v>
      </c>
      <c r="O46" s="55"/>
    </row>
    <row r="47" spans="1:15" s="54" customFormat="1" outlineLevel="1" x14ac:dyDescent="0.2">
      <c r="A47" s="54" t="s">
        <v>87</v>
      </c>
      <c r="H47" s="54">
        <v>379</v>
      </c>
      <c r="J47" s="54">
        <v>6694</v>
      </c>
      <c r="N47" s="45">
        <f>SUM(B47:M47)</f>
        <v>7073</v>
      </c>
      <c r="O47" s="55"/>
    </row>
    <row r="48" spans="1:15" s="54" customFormat="1" outlineLevel="1" x14ac:dyDescent="0.2">
      <c r="A48" s="54" t="s">
        <v>88</v>
      </c>
      <c r="B48" s="87"/>
      <c r="C48" s="87"/>
      <c r="D48" s="87"/>
      <c r="E48" s="87"/>
      <c r="F48" s="87"/>
      <c r="G48" s="87">
        <v>33500</v>
      </c>
      <c r="H48" s="87"/>
      <c r="I48" s="87"/>
      <c r="J48" s="87"/>
      <c r="K48" s="87"/>
      <c r="L48" s="87"/>
      <c r="M48" s="87"/>
      <c r="N48" s="56">
        <f>SUM(B48:M48)</f>
        <v>33500</v>
      </c>
      <c r="O48" s="55"/>
    </row>
    <row r="49" spans="1:16" ht="12" thickBot="1" x14ac:dyDescent="0.25">
      <c r="A49" s="44" t="s">
        <v>7</v>
      </c>
      <c r="B49" s="57">
        <f t="shared" ref="B49:M49" si="6">SUM(B46:B48)</f>
        <v>2135099.83</v>
      </c>
      <c r="C49" s="57">
        <f t="shared" si="6"/>
        <v>7306.12</v>
      </c>
      <c r="D49" s="57">
        <f t="shared" si="6"/>
        <v>0</v>
      </c>
      <c r="E49" s="57">
        <f t="shared" si="6"/>
        <v>0</v>
      </c>
      <c r="F49" s="57">
        <f t="shared" si="6"/>
        <v>0</v>
      </c>
      <c r="G49" s="57">
        <f t="shared" si="6"/>
        <v>349128.07</v>
      </c>
      <c r="H49" s="57">
        <f t="shared" si="6"/>
        <v>379</v>
      </c>
      <c r="I49" s="57">
        <f t="shared" si="6"/>
        <v>0</v>
      </c>
      <c r="J49" s="57">
        <f t="shared" si="6"/>
        <v>323691.65999999997</v>
      </c>
      <c r="K49" s="57">
        <f t="shared" si="6"/>
        <v>0</v>
      </c>
      <c r="L49" s="57">
        <f t="shared" si="6"/>
        <v>1499818.66</v>
      </c>
      <c r="M49" s="57">
        <f t="shared" si="6"/>
        <v>0</v>
      </c>
      <c r="N49" s="57">
        <f>SUM(B49:M49)</f>
        <v>4315423.34</v>
      </c>
    </row>
    <row r="50" spans="1:16" ht="12" thickTop="1" x14ac:dyDescent="0.2"/>
    <row r="53" spans="1:16" x14ac:dyDescent="0.2">
      <c r="A53" s="44" t="s">
        <v>82</v>
      </c>
      <c r="H53" s="46"/>
      <c r="O53" s="47" t="s">
        <v>95</v>
      </c>
      <c r="P53" s="48"/>
    </row>
    <row r="54" spans="1:16" x14ac:dyDescent="0.2">
      <c r="A54" s="44" t="s">
        <v>0</v>
      </c>
    </row>
    <row r="55" spans="1:16" x14ac:dyDescent="0.2">
      <c r="L55" s="49"/>
    </row>
    <row r="56" spans="1:16" x14ac:dyDescent="0.2">
      <c r="A56" s="44" t="s">
        <v>346</v>
      </c>
      <c r="B56" s="50"/>
      <c r="C56" s="50"/>
      <c r="D56" s="50"/>
      <c r="E56" s="50"/>
      <c r="F56" s="50"/>
      <c r="G56" s="50"/>
      <c r="H56" s="50" t="s">
        <v>1</v>
      </c>
      <c r="I56" s="50"/>
      <c r="J56" s="50"/>
      <c r="K56" s="50"/>
      <c r="L56" s="51" t="s">
        <v>29</v>
      </c>
      <c r="M56" s="50"/>
      <c r="N56" s="50"/>
      <c r="O56" s="50" t="s">
        <v>99</v>
      </c>
      <c r="P56" s="48"/>
    </row>
    <row r="57" spans="1:16" x14ac:dyDescent="0.2">
      <c r="B57" s="50" t="s">
        <v>2</v>
      </c>
      <c r="C57" s="50"/>
      <c r="D57" s="50" t="s">
        <v>3</v>
      </c>
      <c r="E57" s="50"/>
      <c r="F57" s="50"/>
      <c r="G57" s="50"/>
      <c r="H57" s="50" t="s">
        <v>4</v>
      </c>
      <c r="I57" s="50"/>
      <c r="J57" s="50" t="s">
        <v>5</v>
      </c>
      <c r="K57" s="50" t="s">
        <v>6</v>
      </c>
      <c r="L57" s="51" t="s">
        <v>30</v>
      </c>
      <c r="M57" s="50"/>
      <c r="N57" s="50"/>
      <c r="O57" s="50" t="s">
        <v>7</v>
      </c>
      <c r="P57" s="48"/>
    </row>
    <row r="58" spans="1:16" x14ac:dyDescent="0.2">
      <c r="B58" s="52" t="s">
        <v>8</v>
      </c>
      <c r="C58" s="52" t="s">
        <v>9</v>
      </c>
      <c r="D58" s="52" t="s">
        <v>10</v>
      </c>
      <c r="E58" s="52" t="s">
        <v>11</v>
      </c>
      <c r="F58" s="52" t="s">
        <v>12</v>
      </c>
      <c r="G58" s="52" t="s">
        <v>13</v>
      </c>
      <c r="H58" s="52" t="s">
        <v>10</v>
      </c>
      <c r="I58" s="52" t="s">
        <v>14</v>
      </c>
      <c r="J58" s="52" t="s">
        <v>15</v>
      </c>
      <c r="K58" s="52" t="s">
        <v>16</v>
      </c>
      <c r="L58" s="53" t="s">
        <v>10</v>
      </c>
      <c r="M58" s="52" t="s">
        <v>26</v>
      </c>
      <c r="N58" s="52" t="s">
        <v>78</v>
      </c>
      <c r="O58" s="52" t="s">
        <v>8</v>
      </c>
      <c r="P58" s="48"/>
    </row>
    <row r="59" spans="1:16" x14ac:dyDescent="0.2">
      <c r="A59" s="45" t="s">
        <v>97</v>
      </c>
      <c r="B59" s="45">
        <v>19650337</v>
      </c>
      <c r="C59" s="45">
        <v>98932054</v>
      </c>
      <c r="D59" s="45">
        <v>28097571</v>
      </c>
      <c r="E59" s="45">
        <v>6354076</v>
      </c>
      <c r="F59" s="45">
        <v>7454233</v>
      </c>
      <c r="G59" s="45">
        <v>26239967</v>
      </c>
      <c r="H59" s="45">
        <v>10124421</v>
      </c>
      <c r="I59" s="45">
        <v>3860783</v>
      </c>
      <c r="J59" s="45">
        <v>18064842</v>
      </c>
      <c r="K59" s="45">
        <v>25919018</v>
      </c>
      <c r="L59" s="45">
        <v>11511863</v>
      </c>
      <c r="M59" s="45">
        <v>926546</v>
      </c>
      <c r="N59" s="45">
        <v>12160049</v>
      </c>
      <c r="O59" s="45">
        <f>SUM(B59:N59)</f>
        <v>269295760</v>
      </c>
      <c r="P59" s="48"/>
    </row>
    <row r="60" spans="1:16" x14ac:dyDescent="0.2">
      <c r="A60" s="45" t="s">
        <v>98</v>
      </c>
      <c r="B60" s="45">
        <f t="shared" ref="B60:M60" si="7">B10</f>
        <v>5692104.4299999997</v>
      </c>
      <c r="C60" s="45">
        <f t="shared" si="7"/>
        <v>2908340.2</v>
      </c>
      <c r="D60" s="45">
        <f t="shared" si="7"/>
        <v>0</v>
      </c>
      <c r="E60" s="45">
        <f t="shared" si="7"/>
        <v>0</v>
      </c>
      <c r="F60" s="45">
        <f t="shared" si="7"/>
        <v>118646.31</v>
      </c>
      <c r="G60" s="45">
        <f t="shared" si="7"/>
        <v>1407461.34</v>
      </c>
      <c r="H60" s="45">
        <f t="shared" si="7"/>
        <v>379</v>
      </c>
      <c r="I60" s="45">
        <f t="shared" si="7"/>
        <v>432575.24</v>
      </c>
      <c r="J60" s="45">
        <f t="shared" si="7"/>
        <v>2440838.7999999998</v>
      </c>
      <c r="K60" s="45">
        <f t="shared" si="7"/>
        <v>10783661.58</v>
      </c>
      <c r="L60" s="45">
        <f t="shared" si="7"/>
        <v>20417465.52</v>
      </c>
      <c r="M60" s="45">
        <f t="shared" si="7"/>
        <v>684674.76</v>
      </c>
      <c r="O60" s="45">
        <f>SUM(B60:N60)</f>
        <v>44886147.18</v>
      </c>
      <c r="P60" s="48" t="s">
        <v>34</v>
      </c>
    </row>
    <row r="61" spans="1:16" x14ac:dyDescent="0.2">
      <c r="O61" s="45"/>
      <c r="P61" s="48"/>
    </row>
    <row r="62" spans="1:16" ht="12" thickBot="1" x14ac:dyDescent="0.25">
      <c r="A62" s="44" t="s">
        <v>7</v>
      </c>
      <c r="B62" s="58">
        <f t="shared" ref="B62:O62" si="8">SUM(B59:B61)</f>
        <v>25342441.43</v>
      </c>
      <c r="C62" s="58">
        <f t="shared" si="8"/>
        <v>101840394.2</v>
      </c>
      <c r="D62" s="58">
        <f t="shared" si="8"/>
        <v>28097571</v>
      </c>
      <c r="E62" s="58">
        <f t="shared" si="8"/>
        <v>6354076</v>
      </c>
      <c r="F62" s="58">
        <f t="shared" si="8"/>
        <v>7572879.3099999996</v>
      </c>
      <c r="G62" s="58">
        <f t="shared" si="8"/>
        <v>27647428.34</v>
      </c>
      <c r="H62" s="58">
        <f t="shared" si="8"/>
        <v>10124800</v>
      </c>
      <c r="I62" s="58">
        <f t="shared" si="8"/>
        <v>4293358.24</v>
      </c>
      <c r="J62" s="58">
        <f t="shared" si="8"/>
        <v>20505680.800000001</v>
      </c>
      <c r="K62" s="58">
        <f t="shared" si="8"/>
        <v>36702679.579999998</v>
      </c>
      <c r="L62" s="58">
        <f t="shared" si="8"/>
        <v>31929328.52</v>
      </c>
      <c r="M62" s="58">
        <f t="shared" si="8"/>
        <v>1611220.76</v>
      </c>
      <c r="N62" s="58">
        <f t="shared" si="8"/>
        <v>12160049</v>
      </c>
      <c r="O62" s="58">
        <f t="shared" si="8"/>
        <v>314181907.18000001</v>
      </c>
      <c r="P62" s="48"/>
    </row>
    <row r="63" spans="1:16" ht="12" thickTop="1" x14ac:dyDescent="0.2"/>
    <row r="66" spans="1:16" x14ac:dyDescent="0.2">
      <c r="A66" s="44" t="s">
        <v>100</v>
      </c>
      <c r="H66" s="46"/>
      <c r="O66" s="47" t="s">
        <v>95</v>
      </c>
      <c r="P66" s="48"/>
    </row>
    <row r="67" spans="1:16" x14ac:dyDescent="0.2">
      <c r="A67" s="44" t="s">
        <v>0</v>
      </c>
      <c r="O67" s="45"/>
      <c r="P67" s="48"/>
    </row>
    <row r="68" spans="1:16" x14ac:dyDescent="0.2">
      <c r="L68" s="49"/>
      <c r="O68" s="45"/>
      <c r="P68" s="48"/>
    </row>
    <row r="69" spans="1:16" x14ac:dyDescent="0.2">
      <c r="A69" s="44" t="s">
        <v>96</v>
      </c>
      <c r="B69" s="50"/>
      <c r="C69" s="50"/>
      <c r="D69" s="50"/>
      <c r="E69" s="50"/>
      <c r="F69" s="50"/>
      <c r="G69" s="50"/>
      <c r="H69" s="50" t="s">
        <v>1</v>
      </c>
      <c r="I69" s="50"/>
      <c r="J69" s="50"/>
      <c r="K69" s="50"/>
      <c r="L69" s="51" t="s">
        <v>29</v>
      </c>
      <c r="M69" s="50"/>
      <c r="N69" s="50"/>
      <c r="O69" s="50" t="s">
        <v>85</v>
      </c>
      <c r="P69" s="48"/>
    </row>
    <row r="70" spans="1:16" x14ac:dyDescent="0.2">
      <c r="B70" s="50" t="s">
        <v>2</v>
      </c>
      <c r="C70" s="50"/>
      <c r="D70" s="50" t="s">
        <v>3</v>
      </c>
      <c r="E70" s="50"/>
      <c r="F70" s="50"/>
      <c r="G70" s="50"/>
      <c r="H70" s="50" t="s">
        <v>4</v>
      </c>
      <c r="I70" s="50"/>
      <c r="J70" s="50" t="s">
        <v>5</v>
      </c>
      <c r="K70" s="50" t="s">
        <v>6</v>
      </c>
      <c r="L70" s="51" t="s">
        <v>30</v>
      </c>
      <c r="M70" s="50"/>
      <c r="N70" s="50"/>
      <c r="O70" s="50" t="s">
        <v>7</v>
      </c>
      <c r="P70" s="48"/>
    </row>
    <row r="71" spans="1:16" x14ac:dyDescent="0.2">
      <c r="B71" s="52" t="s">
        <v>8</v>
      </c>
      <c r="C71" s="52" t="s">
        <v>9</v>
      </c>
      <c r="D71" s="52" t="s">
        <v>10</v>
      </c>
      <c r="E71" s="52" t="s">
        <v>11</v>
      </c>
      <c r="F71" s="52" t="s">
        <v>12</v>
      </c>
      <c r="G71" s="52" t="s">
        <v>13</v>
      </c>
      <c r="H71" s="52" t="s">
        <v>10</v>
      </c>
      <c r="I71" s="52" t="s">
        <v>14</v>
      </c>
      <c r="J71" s="52" t="s">
        <v>15</v>
      </c>
      <c r="K71" s="52" t="s">
        <v>16</v>
      </c>
      <c r="L71" s="53" t="s">
        <v>10</v>
      </c>
      <c r="M71" s="52" t="s">
        <v>26</v>
      </c>
      <c r="N71" s="52" t="s">
        <v>78</v>
      </c>
      <c r="O71" s="52" t="s">
        <v>8</v>
      </c>
      <c r="P71" s="48"/>
    </row>
    <row r="72" spans="1:16" x14ac:dyDescent="0.2">
      <c r="A72" s="45" t="s">
        <v>97</v>
      </c>
      <c r="B72" s="45">
        <v>24899451</v>
      </c>
      <c r="C72" s="45">
        <v>101612847</v>
      </c>
      <c r="D72" s="45">
        <v>28902684</v>
      </c>
      <c r="E72" s="45">
        <v>4302028</v>
      </c>
      <c r="F72" s="45">
        <v>11998241</v>
      </c>
      <c r="G72" s="45">
        <v>24783803</v>
      </c>
      <c r="H72" s="45">
        <v>9748108</v>
      </c>
      <c r="I72" s="45">
        <v>4757278</v>
      </c>
      <c r="J72" s="45">
        <v>17874803</v>
      </c>
      <c r="K72" s="45">
        <v>4860557</v>
      </c>
      <c r="L72" s="45">
        <v>16733505</v>
      </c>
      <c r="M72" s="45">
        <v>894169</v>
      </c>
      <c r="N72" s="45">
        <v>0</v>
      </c>
      <c r="O72" s="45">
        <f>SUM(B72:N72)</f>
        <v>251367474</v>
      </c>
      <c r="P72" s="48"/>
    </row>
    <row r="73" spans="1:16" x14ac:dyDescent="0.2">
      <c r="A73" s="45" t="s">
        <v>98</v>
      </c>
      <c r="B73" s="45">
        <v>1942613</v>
      </c>
      <c r="C73" s="45">
        <v>2091641</v>
      </c>
      <c r="D73" s="45">
        <v>130642</v>
      </c>
      <c r="E73" s="45">
        <v>0</v>
      </c>
      <c r="F73" s="45">
        <v>465727</v>
      </c>
      <c r="G73" s="45">
        <v>3508983</v>
      </c>
      <c r="H73" s="45">
        <v>232</v>
      </c>
      <c r="I73" s="45">
        <v>3544751</v>
      </c>
      <c r="J73" s="45">
        <v>2601864</v>
      </c>
      <c r="K73" s="45">
        <v>0</v>
      </c>
      <c r="L73" s="45">
        <v>0</v>
      </c>
      <c r="M73" s="45">
        <v>0</v>
      </c>
      <c r="N73" s="45">
        <v>0</v>
      </c>
      <c r="O73" s="45">
        <f>SUM(B73:N73)</f>
        <v>14286453</v>
      </c>
      <c r="P73" s="48" t="s">
        <v>34</v>
      </c>
    </row>
    <row r="74" spans="1:16" x14ac:dyDescent="0.2">
      <c r="O74" s="45"/>
      <c r="P74" s="48"/>
    </row>
    <row r="75" spans="1:16" ht="12" thickBot="1" x14ac:dyDescent="0.25">
      <c r="A75" s="44" t="s">
        <v>7</v>
      </c>
      <c r="B75" s="58">
        <f t="shared" ref="B75:O75" si="9">SUM(B72:B74)</f>
        <v>26842064</v>
      </c>
      <c r="C75" s="58">
        <f t="shared" si="9"/>
        <v>103704488</v>
      </c>
      <c r="D75" s="58">
        <f t="shared" si="9"/>
        <v>29033326</v>
      </c>
      <c r="E75" s="58">
        <f t="shared" si="9"/>
        <v>4302028</v>
      </c>
      <c r="F75" s="58">
        <f t="shared" si="9"/>
        <v>12463968</v>
      </c>
      <c r="G75" s="58">
        <f t="shared" si="9"/>
        <v>28292786</v>
      </c>
      <c r="H75" s="58">
        <f t="shared" si="9"/>
        <v>9748340</v>
      </c>
      <c r="I75" s="58">
        <f t="shared" si="9"/>
        <v>8302029</v>
      </c>
      <c r="J75" s="58">
        <f t="shared" si="9"/>
        <v>20476667</v>
      </c>
      <c r="K75" s="58">
        <f t="shared" si="9"/>
        <v>4860557</v>
      </c>
      <c r="L75" s="58">
        <f t="shared" si="9"/>
        <v>16733505</v>
      </c>
      <c r="M75" s="58">
        <f t="shared" si="9"/>
        <v>894169</v>
      </c>
      <c r="N75" s="58">
        <f t="shared" si="9"/>
        <v>0</v>
      </c>
      <c r="O75" s="58">
        <f t="shared" si="9"/>
        <v>265653927</v>
      </c>
      <c r="P75" s="48"/>
    </row>
    <row r="76" spans="1:16" ht="12" thickTop="1" x14ac:dyDescent="0.2"/>
    <row r="82" spans="2:2" x14ac:dyDescent="0.2">
      <c r="B82" s="59"/>
    </row>
    <row r="83" spans="2:2" x14ac:dyDescent="0.2">
      <c r="B83" s="59"/>
    </row>
    <row r="84" spans="2:2" x14ac:dyDescent="0.2">
      <c r="B84" s="59"/>
    </row>
    <row r="85" spans="2:2" x14ac:dyDescent="0.2">
      <c r="B85" s="59"/>
    </row>
    <row r="86" spans="2:2" x14ac:dyDescent="0.2">
      <c r="B86" s="59"/>
    </row>
  </sheetData>
  <pageMargins left="0.5" right="0.5" top="0.5" bottom="0.5" header="0.25" footer="0.5"/>
  <pageSetup scale="75" orientation="landscape" r:id="rId1"/>
  <headerFooter alignWithMargins="0">
    <oddHeader>&amp;L&amp;D&amp;C&amp;F</oddHeader>
    <oddFooter xml:space="preserve">&amp;L&amp;"Arial,Bold"* The information on this page, as provided by the respective College, is to be used for informational purposes only.  This information has not been audited, and therefore, GCFA can not attest to the accuracy of this information.&amp;C
</oddFooter>
  </headerFooter>
  <rowBreaks count="4" manualBreakCount="4">
    <brk id="11" max="16383" man="1"/>
    <brk id="24" max="16383" man="1"/>
    <brk id="37" max="16383" man="1"/>
    <brk id="5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3"/>
  <sheetViews>
    <sheetView zoomScale="115" zoomScaleNormal="115" workbookViewId="0">
      <pane ySplit="1" topLeftCell="A2" activePane="bottomLeft" state="frozen"/>
      <selection pane="bottomLeft" activeCell="E19" sqref="E19"/>
    </sheetView>
  </sheetViews>
  <sheetFormatPr defaultRowHeight="12.75" x14ac:dyDescent="0.2"/>
  <cols>
    <col min="1" max="1" width="4.28515625" style="65" bestFit="1" customWidth="1"/>
    <col min="2" max="2" width="7" style="65" bestFit="1" customWidth="1"/>
    <col min="3" max="3" width="8.42578125" style="65" bestFit="1" customWidth="1"/>
    <col min="4" max="4" width="8.42578125" style="65" customWidth="1"/>
    <col min="5" max="5" width="12.7109375" style="64" bestFit="1" customWidth="1"/>
    <col min="6" max="6" width="9.140625" style="71"/>
    <col min="7" max="7" width="10.28515625" style="71" bestFit="1" customWidth="1"/>
    <col min="8" max="8" width="9.140625" style="71"/>
    <col min="9" max="10" width="12.7109375" style="64" bestFit="1" customWidth="1"/>
    <col min="11" max="11" width="11.7109375" style="64" bestFit="1" customWidth="1"/>
  </cols>
  <sheetData>
    <row r="1" spans="1:11" s="63" customFormat="1" ht="13.5" thickBot="1" x14ac:dyDescent="0.25">
      <c r="A1" s="67" t="s">
        <v>101</v>
      </c>
      <c r="B1" s="67" t="s">
        <v>102</v>
      </c>
      <c r="C1" s="66" t="s">
        <v>332</v>
      </c>
      <c r="D1" s="66"/>
      <c r="E1" s="60" t="s">
        <v>333</v>
      </c>
      <c r="F1" s="61" t="s">
        <v>334</v>
      </c>
      <c r="G1" s="61" t="s">
        <v>335</v>
      </c>
      <c r="H1" s="62" t="s">
        <v>336</v>
      </c>
      <c r="I1" s="60" t="s">
        <v>334</v>
      </c>
      <c r="J1" s="60" t="s">
        <v>335</v>
      </c>
      <c r="K1" s="75" t="s">
        <v>336</v>
      </c>
    </row>
    <row r="2" spans="1:11" ht="13.5" thickBot="1" x14ac:dyDescent="0.25">
      <c r="A2" s="68" t="s">
        <v>103</v>
      </c>
      <c r="B2" s="68" t="s">
        <v>126</v>
      </c>
      <c r="C2" s="70"/>
      <c r="D2" s="70" t="s">
        <v>337</v>
      </c>
      <c r="E2" s="64">
        <v>130953.88</v>
      </c>
      <c r="F2" s="71">
        <v>0.5</v>
      </c>
      <c r="G2" s="71">
        <v>0.5</v>
      </c>
      <c r="I2" s="64">
        <f>E2*0.5</f>
        <v>65476.94</v>
      </c>
      <c r="J2" s="64">
        <f>E2*0.5</f>
        <v>65476.94</v>
      </c>
    </row>
    <row r="3" spans="1:11" ht="13.5" thickBot="1" x14ac:dyDescent="0.25">
      <c r="A3" s="68" t="s">
        <v>103</v>
      </c>
      <c r="B3" s="68" t="s">
        <v>152</v>
      </c>
      <c r="C3" s="78"/>
      <c r="D3" s="78" t="s">
        <v>337</v>
      </c>
      <c r="E3" s="64">
        <v>1667675.26</v>
      </c>
      <c r="G3" s="71">
        <v>1</v>
      </c>
      <c r="J3" s="64">
        <v>1667675.26</v>
      </c>
    </row>
    <row r="4" spans="1:11" ht="13.5" thickBot="1" x14ac:dyDescent="0.25">
      <c r="A4" s="68" t="s">
        <v>103</v>
      </c>
      <c r="B4" s="68" t="s">
        <v>185</v>
      </c>
      <c r="D4" s="65" t="s">
        <v>337</v>
      </c>
      <c r="E4" s="64">
        <v>7462.36</v>
      </c>
      <c r="F4" s="71">
        <v>0.33329999999999999</v>
      </c>
      <c r="G4" s="71">
        <v>0.33329999999999999</v>
      </c>
      <c r="H4" s="71">
        <v>0.33329999999999999</v>
      </c>
      <c r="I4" s="64">
        <f>E4/3</f>
        <v>2487.4533333333334</v>
      </c>
      <c r="J4" s="64">
        <f>E4/3</f>
        <v>2487.4533333333334</v>
      </c>
      <c r="K4" s="64">
        <f>E4/3</f>
        <v>2487.4533333333334</v>
      </c>
    </row>
    <row r="5" spans="1:11" ht="13.5" thickBot="1" x14ac:dyDescent="0.25">
      <c r="A5" s="68" t="s">
        <v>240</v>
      </c>
      <c r="B5" s="68" t="s">
        <v>244</v>
      </c>
      <c r="C5" s="70"/>
      <c r="D5" s="70" t="s">
        <v>337</v>
      </c>
      <c r="E5" s="64">
        <v>81085.41</v>
      </c>
      <c r="G5" s="71">
        <v>1</v>
      </c>
      <c r="J5" s="64">
        <v>81085.41</v>
      </c>
    </row>
    <row r="6" spans="1:11" ht="13.5" thickBot="1" x14ac:dyDescent="0.25">
      <c r="A6" s="68" t="s">
        <v>240</v>
      </c>
      <c r="B6" s="68" t="s">
        <v>245</v>
      </c>
      <c r="C6" s="70"/>
      <c r="D6" s="70" t="s">
        <v>337</v>
      </c>
      <c r="E6" s="64">
        <v>9660</v>
      </c>
      <c r="F6" s="71">
        <v>0.5</v>
      </c>
      <c r="G6" s="71">
        <v>0.5</v>
      </c>
      <c r="I6" s="64">
        <f>E6*0.5</f>
        <v>4830</v>
      </c>
      <c r="J6" s="64">
        <f>E6*0.5</f>
        <v>4830</v>
      </c>
    </row>
    <row r="7" spans="1:11" ht="13.5" thickBot="1" x14ac:dyDescent="0.25">
      <c r="A7" s="68" t="s">
        <v>240</v>
      </c>
      <c r="B7" s="68" t="s">
        <v>246</v>
      </c>
      <c r="D7" s="65" t="s">
        <v>337</v>
      </c>
      <c r="E7" s="64">
        <v>14456</v>
      </c>
      <c r="F7" s="71">
        <v>0.33329999999999999</v>
      </c>
      <c r="G7" s="71">
        <v>0.33329999999999999</v>
      </c>
      <c r="H7" s="71">
        <v>0.33329999999999999</v>
      </c>
      <c r="I7" s="64">
        <f>E7/3</f>
        <v>4818.666666666667</v>
      </c>
      <c r="J7" s="64">
        <f>E7/3</f>
        <v>4818.666666666667</v>
      </c>
      <c r="K7" s="64">
        <f>E7/3</f>
        <v>4818.666666666667</v>
      </c>
    </row>
    <row r="8" spans="1:11" ht="13.5" thickBot="1" x14ac:dyDescent="0.25">
      <c r="A8" s="68" t="s">
        <v>240</v>
      </c>
      <c r="B8" s="68" t="s">
        <v>247</v>
      </c>
      <c r="D8" s="65" t="s">
        <v>337</v>
      </c>
      <c r="E8" s="64">
        <v>1750</v>
      </c>
      <c r="F8" s="71">
        <v>1</v>
      </c>
      <c r="I8" s="64">
        <v>1750</v>
      </c>
    </row>
    <row r="9" spans="1:11" ht="13.5" thickBot="1" x14ac:dyDescent="0.25">
      <c r="A9" s="68" t="s">
        <v>240</v>
      </c>
      <c r="B9" s="68" t="s">
        <v>248</v>
      </c>
      <c r="D9" s="65" t="s">
        <v>337</v>
      </c>
      <c r="E9" s="64">
        <v>3475</v>
      </c>
      <c r="F9" s="71">
        <v>1</v>
      </c>
      <c r="I9" s="64">
        <v>3475</v>
      </c>
    </row>
    <row r="10" spans="1:11" ht="13.5" thickBot="1" x14ac:dyDescent="0.25">
      <c r="A10" s="68" t="s">
        <v>240</v>
      </c>
      <c r="B10" s="68" t="s">
        <v>249</v>
      </c>
      <c r="D10" s="65" t="s">
        <v>337</v>
      </c>
      <c r="E10" s="64">
        <v>161379.73000000001</v>
      </c>
      <c r="G10" s="71">
        <v>1</v>
      </c>
      <c r="J10" s="64">
        <v>161379.73000000001</v>
      </c>
    </row>
    <row r="11" spans="1:11" ht="13.5" thickBot="1" x14ac:dyDescent="0.25">
      <c r="A11" s="68" t="s">
        <v>240</v>
      </c>
      <c r="B11" s="68" t="s">
        <v>250</v>
      </c>
      <c r="D11" s="65" t="s">
        <v>337</v>
      </c>
      <c r="E11" s="64">
        <v>46295.38</v>
      </c>
      <c r="F11" s="71">
        <v>1</v>
      </c>
      <c r="I11" s="64">
        <v>46295.38</v>
      </c>
    </row>
    <row r="12" spans="1:11" ht="13.5" thickBot="1" x14ac:dyDescent="0.25">
      <c r="A12" s="68" t="s">
        <v>240</v>
      </c>
      <c r="B12" s="68" t="s">
        <v>251</v>
      </c>
      <c r="D12" s="65" t="s">
        <v>337</v>
      </c>
      <c r="E12" s="64">
        <v>741054.5</v>
      </c>
      <c r="F12" s="71">
        <v>1</v>
      </c>
      <c r="I12" s="64">
        <v>741054.5</v>
      </c>
    </row>
    <row r="13" spans="1:11" ht="13.5" thickBot="1" x14ac:dyDescent="0.25">
      <c r="A13" s="68" t="s">
        <v>240</v>
      </c>
      <c r="B13" s="68" t="s">
        <v>252</v>
      </c>
      <c r="D13" s="65" t="s">
        <v>337</v>
      </c>
      <c r="E13" s="64">
        <v>14835.43</v>
      </c>
      <c r="F13" s="71">
        <v>1</v>
      </c>
      <c r="I13" s="64">
        <v>14835.43</v>
      </c>
    </row>
    <row r="14" spans="1:11" ht="13.5" thickBot="1" x14ac:dyDescent="0.25">
      <c r="A14" s="68" t="s">
        <v>240</v>
      </c>
      <c r="B14" s="68" t="s">
        <v>253</v>
      </c>
      <c r="D14" s="65" t="s">
        <v>337</v>
      </c>
      <c r="E14" s="64">
        <v>11074.52</v>
      </c>
      <c r="F14" s="71">
        <v>1</v>
      </c>
      <c r="I14" s="64">
        <v>11074.52</v>
      </c>
    </row>
    <row r="15" spans="1:11" ht="13.5" thickBot="1" x14ac:dyDescent="0.25">
      <c r="A15" s="68" t="s">
        <v>240</v>
      </c>
      <c r="B15" s="68" t="s">
        <v>254</v>
      </c>
      <c r="C15" s="72" t="s">
        <v>328</v>
      </c>
      <c r="D15" s="72" t="s">
        <v>337</v>
      </c>
      <c r="E15" s="64">
        <v>4363.0200000000004</v>
      </c>
      <c r="F15" s="71">
        <v>1</v>
      </c>
      <c r="I15" s="86">
        <v>4363.0200000000004</v>
      </c>
    </row>
    <row r="16" spans="1:11" ht="13.5" thickBot="1" x14ac:dyDescent="0.25">
      <c r="A16" s="68" t="s">
        <v>240</v>
      </c>
      <c r="B16" s="68" t="s">
        <v>255</v>
      </c>
      <c r="C16" s="72" t="s">
        <v>329</v>
      </c>
      <c r="D16" s="72" t="s">
        <v>337</v>
      </c>
      <c r="E16" s="64">
        <v>3502.5</v>
      </c>
      <c r="F16" s="71">
        <v>1</v>
      </c>
      <c r="I16" s="86">
        <v>3502.5</v>
      </c>
    </row>
    <row r="17" spans="1:11" ht="13.5" thickBot="1" x14ac:dyDescent="0.25">
      <c r="A17" s="68" t="s">
        <v>240</v>
      </c>
      <c r="B17" s="68" t="s">
        <v>256</v>
      </c>
      <c r="C17" s="72" t="s">
        <v>330</v>
      </c>
      <c r="D17" s="72" t="s">
        <v>337</v>
      </c>
      <c r="E17" s="64">
        <v>4517.21</v>
      </c>
      <c r="F17" s="71">
        <v>1</v>
      </c>
      <c r="I17" s="86">
        <v>4517.21</v>
      </c>
    </row>
    <row r="18" spans="1:11" ht="13.5" thickBot="1" x14ac:dyDescent="0.25">
      <c r="A18" s="68" t="s">
        <v>240</v>
      </c>
      <c r="B18" s="68" t="s">
        <v>257</v>
      </c>
      <c r="D18" s="65" t="s">
        <v>337</v>
      </c>
      <c r="E18" s="76">
        <v>4800</v>
      </c>
      <c r="F18" s="77">
        <v>1</v>
      </c>
      <c r="G18" s="77"/>
      <c r="H18" s="77"/>
      <c r="I18" s="76">
        <v>4800</v>
      </c>
      <c r="J18" s="76"/>
      <c r="K18" s="76"/>
    </row>
    <row r="19" spans="1:11" s="81" customFormat="1" ht="13.5" thickBot="1" x14ac:dyDescent="0.25">
      <c r="A19" s="80"/>
      <c r="B19" s="80"/>
      <c r="C19" s="63"/>
      <c r="D19" s="63"/>
      <c r="E19" s="60">
        <f>SUM(E2:E18)</f>
        <v>2908340.2</v>
      </c>
      <c r="F19" s="61"/>
      <c r="G19" s="61"/>
      <c r="H19" s="61"/>
      <c r="I19" s="60">
        <f>SUM(I2:I18)</f>
        <v>913280.62</v>
      </c>
      <c r="J19" s="60">
        <f>SUM(J2:J18)</f>
        <v>1987753.46</v>
      </c>
      <c r="K19" s="60">
        <f>SUM(K2:K18)</f>
        <v>7306.1200000000008</v>
      </c>
    </row>
    <row r="20" spans="1:11" ht="13.5" thickBot="1" x14ac:dyDescent="0.25">
      <c r="A20" s="68" t="s">
        <v>103</v>
      </c>
      <c r="B20" s="68" t="s">
        <v>116</v>
      </c>
      <c r="C20" s="70"/>
      <c r="D20" s="70" t="s">
        <v>338</v>
      </c>
      <c r="E20" s="64">
        <v>39996.81</v>
      </c>
      <c r="F20" s="71">
        <v>0.5</v>
      </c>
      <c r="G20" s="71">
        <v>0.5</v>
      </c>
      <c r="I20" s="64">
        <f>E20*0.5</f>
        <v>19998.404999999999</v>
      </c>
      <c r="J20" s="64">
        <f>E20*0.5</f>
        <v>19998.404999999999</v>
      </c>
    </row>
    <row r="21" spans="1:11" ht="13.5" thickBot="1" x14ac:dyDescent="0.25">
      <c r="A21" s="68" t="s">
        <v>103</v>
      </c>
      <c r="B21" s="68" t="s">
        <v>118</v>
      </c>
      <c r="C21" s="70"/>
      <c r="D21" s="70" t="s">
        <v>338</v>
      </c>
      <c r="E21" s="64">
        <v>314580.62</v>
      </c>
      <c r="H21" s="71">
        <v>1</v>
      </c>
      <c r="K21" s="64">
        <v>314580.62</v>
      </c>
    </row>
    <row r="22" spans="1:11" ht="13.5" thickBot="1" x14ac:dyDescent="0.25">
      <c r="A22" s="68" t="s">
        <v>103</v>
      </c>
      <c r="B22" s="68" t="s">
        <v>130</v>
      </c>
      <c r="C22" s="70"/>
      <c r="D22" s="70" t="s">
        <v>338</v>
      </c>
      <c r="E22" s="64">
        <v>42040.34</v>
      </c>
      <c r="F22" s="71">
        <v>0.75</v>
      </c>
      <c r="G22" s="71">
        <v>0.25</v>
      </c>
      <c r="I22" s="64">
        <f>E22*0.75</f>
        <v>31530.254999999997</v>
      </c>
      <c r="J22" s="64">
        <f>E22*0.25</f>
        <v>10510.084999999999</v>
      </c>
    </row>
    <row r="23" spans="1:11" ht="13.5" thickBot="1" x14ac:dyDescent="0.25">
      <c r="A23" s="68" t="s">
        <v>103</v>
      </c>
      <c r="B23" s="68" t="s">
        <v>186</v>
      </c>
      <c r="C23" s="78"/>
      <c r="D23" s="78" t="s">
        <v>338</v>
      </c>
      <c r="E23" s="76">
        <v>52372.5</v>
      </c>
      <c r="F23" s="77">
        <v>0.9</v>
      </c>
      <c r="G23" s="77">
        <v>0.08</v>
      </c>
      <c r="H23" s="77">
        <v>0.02</v>
      </c>
      <c r="I23" s="76">
        <f>E23*0.9</f>
        <v>47135.25</v>
      </c>
      <c r="J23" s="76">
        <f>E23*0.08</f>
        <v>4189.8</v>
      </c>
      <c r="K23" s="76">
        <f>E23*0.02</f>
        <v>1047.45</v>
      </c>
    </row>
    <row r="24" spans="1:11" s="81" customFormat="1" ht="13.5" thickBot="1" x14ac:dyDescent="0.25">
      <c r="A24" s="80"/>
      <c r="B24" s="80"/>
      <c r="C24" s="82"/>
      <c r="D24" s="82"/>
      <c r="E24" s="60">
        <f>SUM(E20:E23)</f>
        <v>448990.27</v>
      </c>
      <c r="F24" s="61"/>
      <c r="G24" s="61"/>
      <c r="H24" s="61"/>
      <c r="I24" s="60">
        <f>SUM(I20:I23)</f>
        <v>98663.91</v>
      </c>
      <c r="J24" s="60">
        <f>SUM(J20:J23)</f>
        <v>34698.29</v>
      </c>
      <c r="K24" s="60">
        <f>SUM(K20:K23)</f>
        <v>315628.07</v>
      </c>
    </row>
    <row r="25" spans="1:11" ht="13.5" thickBot="1" x14ac:dyDescent="0.25">
      <c r="A25" s="68" t="s">
        <v>304</v>
      </c>
      <c r="B25" s="68" t="s">
        <v>305</v>
      </c>
      <c r="C25" s="70"/>
      <c r="D25" s="70" t="s">
        <v>339</v>
      </c>
      <c r="E25" s="64">
        <v>150000</v>
      </c>
      <c r="F25" s="71">
        <v>1</v>
      </c>
      <c r="I25" s="64">
        <v>150000</v>
      </c>
    </row>
    <row r="26" spans="1:11" ht="13.5" thickBot="1" x14ac:dyDescent="0.25">
      <c r="A26" s="68" t="s">
        <v>304</v>
      </c>
      <c r="B26" s="68" t="s">
        <v>306</v>
      </c>
      <c r="C26" s="70"/>
      <c r="D26" s="70" t="s">
        <v>339</v>
      </c>
      <c r="E26" s="64">
        <v>29056.639999999999</v>
      </c>
      <c r="G26" s="71">
        <v>1</v>
      </c>
      <c r="J26" s="64">
        <v>29056.639999999999</v>
      </c>
    </row>
    <row r="27" spans="1:11" ht="13.5" thickBot="1" x14ac:dyDescent="0.25">
      <c r="A27" s="68" t="s">
        <v>304</v>
      </c>
      <c r="B27" s="68" t="s">
        <v>307</v>
      </c>
      <c r="C27" s="72"/>
      <c r="D27" s="72" t="s">
        <v>339</v>
      </c>
      <c r="E27" s="64">
        <v>6931</v>
      </c>
      <c r="G27" s="71">
        <v>1</v>
      </c>
      <c r="J27" s="64">
        <v>6931</v>
      </c>
    </row>
    <row r="28" spans="1:11" ht="13.5" thickBot="1" x14ac:dyDescent="0.25">
      <c r="A28" s="68" t="s">
        <v>304</v>
      </c>
      <c r="B28" s="68">
        <v>712430</v>
      </c>
      <c r="C28" s="72"/>
      <c r="D28" s="72" t="s">
        <v>339</v>
      </c>
      <c r="E28" s="64">
        <v>20755.28</v>
      </c>
      <c r="G28" s="71">
        <v>1</v>
      </c>
      <c r="J28" s="64">
        <v>20755.28</v>
      </c>
    </row>
    <row r="29" spans="1:11" ht="13.5" thickBot="1" x14ac:dyDescent="0.25">
      <c r="A29" s="68" t="s">
        <v>304</v>
      </c>
      <c r="B29" s="68" t="s">
        <v>308</v>
      </c>
      <c r="D29" s="65" t="s">
        <v>339</v>
      </c>
      <c r="E29" s="64">
        <v>130353.65</v>
      </c>
      <c r="G29" s="71">
        <v>1</v>
      </c>
      <c r="J29" s="64">
        <v>130353.65</v>
      </c>
    </row>
    <row r="30" spans="1:11" ht="13.5" thickBot="1" x14ac:dyDescent="0.25">
      <c r="A30" s="68" t="s">
        <v>304</v>
      </c>
      <c r="B30" s="68" t="s">
        <v>309</v>
      </c>
      <c r="D30" s="65" t="s">
        <v>339</v>
      </c>
      <c r="E30" s="64">
        <v>111617.34</v>
      </c>
      <c r="G30" s="71">
        <v>1</v>
      </c>
      <c r="J30" s="64">
        <v>111617.34</v>
      </c>
    </row>
    <row r="31" spans="1:11" ht="13.5" thickBot="1" x14ac:dyDescent="0.25">
      <c r="A31" s="68" t="s">
        <v>304</v>
      </c>
      <c r="B31" s="68" t="s">
        <v>310</v>
      </c>
      <c r="D31" s="65" t="s">
        <v>339</v>
      </c>
      <c r="E31" s="64">
        <v>1684340.32</v>
      </c>
      <c r="G31" s="71">
        <v>1</v>
      </c>
      <c r="J31" s="64">
        <v>1684340.32</v>
      </c>
    </row>
    <row r="32" spans="1:11" ht="13.5" thickBot="1" x14ac:dyDescent="0.25">
      <c r="A32" s="68" t="s">
        <v>304</v>
      </c>
      <c r="B32" s="68" t="s">
        <v>311</v>
      </c>
      <c r="D32" s="65" t="s">
        <v>339</v>
      </c>
      <c r="E32" s="64">
        <v>1499818.66</v>
      </c>
      <c r="H32" s="71">
        <v>1</v>
      </c>
      <c r="K32" s="64">
        <v>1499818.66</v>
      </c>
    </row>
    <row r="33" spans="1:11" ht="13.5" thickBot="1" x14ac:dyDescent="0.25">
      <c r="A33" s="68" t="s">
        <v>304</v>
      </c>
      <c r="B33" s="68" t="s">
        <v>312</v>
      </c>
      <c r="D33" s="65" t="s">
        <v>339</v>
      </c>
      <c r="E33" s="64">
        <v>22873.360000000001</v>
      </c>
      <c r="G33" s="71">
        <v>1</v>
      </c>
      <c r="J33" s="64">
        <v>22873.360000000001</v>
      </c>
    </row>
    <row r="34" spans="1:11" ht="13.5" thickBot="1" x14ac:dyDescent="0.25">
      <c r="A34" s="68" t="s">
        <v>304</v>
      </c>
      <c r="B34" s="68" t="s">
        <v>313</v>
      </c>
      <c r="D34" s="65" t="s">
        <v>339</v>
      </c>
      <c r="E34" s="76">
        <v>16761719.27</v>
      </c>
      <c r="F34" s="77"/>
      <c r="G34" s="77">
        <v>1</v>
      </c>
      <c r="H34" s="77"/>
      <c r="I34" s="76"/>
      <c r="J34" s="76">
        <v>16761719.27</v>
      </c>
      <c r="K34" s="76"/>
    </row>
    <row r="35" spans="1:11" s="81" customFormat="1" ht="13.5" thickBot="1" x14ac:dyDescent="0.25">
      <c r="A35" s="80"/>
      <c r="B35" s="80"/>
      <c r="C35" s="63"/>
      <c r="D35" s="63"/>
      <c r="E35" s="60">
        <f>SUM(E25:E34)</f>
        <v>20417465.52</v>
      </c>
      <c r="F35" s="61"/>
      <c r="G35" s="61"/>
      <c r="H35" s="61"/>
      <c r="I35" s="60">
        <f>SUM(I25:I34)</f>
        <v>150000</v>
      </c>
      <c r="J35" s="60">
        <f>SUM(J25:J34)</f>
        <v>18767646.859999999</v>
      </c>
      <c r="K35" s="60">
        <f>SUM(K25:K34)</f>
        <v>1499818.66</v>
      </c>
    </row>
    <row r="36" spans="1:11" ht="13.5" thickBot="1" x14ac:dyDescent="0.25">
      <c r="A36" s="68" t="s">
        <v>103</v>
      </c>
      <c r="B36" s="68" t="s">
        <v>182</v>
      </c>
      <c r="D36" s="65" t="s">
        <v>341</v>
      </c>
      <c r="E36" s="64">
        <v>93313.75</v>
      </c>
      <c r="G36" s="71">
        <v>1</v>
      </c>
      <c r="J36" s="64">
        <v>93313.75</v>
      </c>
    </row>
    <row r="37" spans="1:11" ht="13.5" thickBot="1" x14ac:dyDescent="0.25">
      <c r="A37" s="68" t="s">
        <v>103</v>
      </c>
      <c r="B37" s="68" t="s">
        <v>188</v>
      </c>
      <c r="D37" s="65" t="s">
        <v>341</v>
      </c>
      <c r="E37" s="76">
        <v>15955.74</v>
      </c>
      <c r="F37" s="77"/>
      <c r="G37" s="77">
        <v>1</v>
      </c>
      <c r="H37" s="77"/>
      <c r="I37" s="76"/>
      <c r="J37" s="76">
        <v>15955.74</v>
      </c>
      <c r="K37" s="76"/>
    </row>
    <row r="38" spans="1:11" s="81" customFormat="1" ht="13.5" thickBot="1" x14ac:dyDescent="0.25">
      <c r="A38" s="80"/>
      <c r="B38" s="80"/>
      <c r="C38" s="63"/>
      <c r="D38" s="63"/>
      <c r="E38" s="60">
        <f>SUM(E36:E37)</f>
        <v>109269.49</v>
      </c>
      <c r="F38" s="61"/>
      <c r="G38" s="61"/>
      <c r="H38" s="61"/>
      <c r="I38" s="60">
        <f>SUM(I36:I37)</f>
        <v>0</v>
      </c>
      <c r="J38" s="60">
        <f>SUM(J36:J37)</f>
        <v>109269.49</v>
      </c>
      <c r="K38" s="60">
        <f>SUM(K36:K37)</f>
        <v>0</v>
      </c>
    </row>
    <row r="39" spans="1:11" ht="13.5" thickBot="1" x14ac:dyDescent="0.25">
      <c r="A39" s="68" t="s">
        <v>103</v>
      </c>
      <c r="B39" s="68" t="s">
        <v>117</v>
      </c>
      <c r="C39" s="70"/>
      <c r="D39" s="65" t="s">
        <v>342</v>
      </c>
      <c r="E39" s="64">
        <v>226106.3</v>
      </c>
      <c r="G39" s="71">
        <v>1</v>
      </c>
      <c r="J39" s="64">
        <v>226106.3</v>
      </c>
    </row>
    <row r="40" spans="1:11" ht="13.5" thickBot="1" x14ac:dyDescent="0.25">
      <c r="A40" s="68" t="s">
        <v>103</v>
      </c>
      <c r="B40" s="68" t="s">
        <v>119</v>
      </c>
      <c r="C40" s="70"/>
      <c r="D40" s="65" t="s">
        <v>342</v>
      </c>
      <c r="E40" s="64">
        <v>10905.26</v>
      </c>
      <c r="F40" s="71">
        <v>0.5</v>
      </c>
      <c r="G40" s="71">
        <v>0.5</v>
      </c>
      <c r="I40" s="64">
        <f>E40*0.5</f>
        <v>5452.63</v>
      </c>
      <c r="J40" s="64">
        <f>E40*0.5</f>
        <v>5452.63</v>
      </c>
    </row>
    <row r="41" spans="1:11" ht="13.5" thickBot="1" x14ac:dyDescent="0.25">
      <c r="A41" s="68" t="s">
        <v>103</v>
      </c>
      <c r="B41" s="68" t="s">
        <v>123</v>
      </c>
      <c r="C41" s="70"/>
      <c r="D41" s="65" t="s">
        <v>342</v>
      </c>
      <c r="E41" s="64">
        <v>16607.28</v>
      </c>
      <c r="G41" s="71">
        <v>1</v>
      </c>
      <c r="J41" s="64">
        <v>16607.28</v>
      </c>
    </row>
    <row r="42" spans="1:11" ht="13.5" thickBot="1" x14ac:dyDescent="0.25">
      <c r="A42" s="68" t="s">
        <v>103</v>
      </c>
      <c r="B42" s="68" t="s">
        <v>124</v>
      </c>
      <c r="C42" s="70"/>
      <c r="D42" s="65" t="s">
        <v>342</v>
      </c>
      <c r="E42" s="64">
        <v>71103.95</v>
      </c>
      <c r="G42" s="71">
        <v>1</v>
      </c>
      <c r="J42" s="64">
        <v>71103.95</v>
      </c>
    </row>
    <row r="43" spans="1:11" ht="13.5" thickBot="1" x14ac:dyDescent="0.25">
      <c r="A43" s="68" t="s">
        <v>103</v>
      </c>
      <c r="B43" s="68" t="s">
        <v>125</v>
      </c>
      <c r="C43" s="70"/>
      <c r="D43" s="65" t="s">
        <v>342</v>
      </c>
      <c r="E43" s="64">
        <v>37262.660000000003</v>
      </c>
      <c r="H43" s="71">
        <v>1</v>
      </c>
      <c r="K43" s="64">
        <v>37262.660000000003</v>
      </c>
    </row>
    <row r="44" spans="1:11" ht="13.5" thickBot="1" x14ac:dyDescent="0.25">
      <c r="A44" s="68" t="s">
        <v>103</v>
      </c>
      <c r="B44" s="68" t="s">
        <v>129</v>
      </c>
      <c r="C44" s="70"/>
      <c r="D44" s="65" t="s">
        <v>342</v>
      </c>
      <c r="E44" s="64">
        <v>70312.23</v>
      </c>
      <c r="F44" s="71">
        <v>0.33329999999999999</v>
      </c>
      <c r="G44" s="71">
        <v>0.33329999999999999</v>
      </c>
      <c r="H44" s="71">
        <v>0.33329999999999999</v>
      </c>
      <c r="I44" s="64">
        <f>E44/3</f>
        <v>23437.41</v>
      </c>
      <c r="J44" s="64">
        <f>E44/3</f>
        <v>23437.41</v>
      </c>
      <c r="K44" s="64">
        <f>E44/3</f>
        <v>23437.41</v>
      </c>
    </row>
    <row r="45" spans="1:11" ht="13.5" thickBot="1" x14ac:dyDescent="0.25">
      <c r="A45" s="68" t="s">
        <v>103</v>
      </c>
      <c r="B45" s="68" t="s">
        <v>132</v>
      </c>
      <c r="C45" s="70"/>
      <c r="D45" s="65" t="s">
        <v>342</v>
      </c>
      <c r="E45" s="64">
        <v>127.98</v>
      </c>
      <c r="F45" s="71">
        <v>0.33329999999999999</v>
      </c>
      <c r="G45" s="71">
        <v>0.33329999999999999</v>
      </c>
      <c r="H45" s="71">
        <v>0.33329999999999999</v>
      </c>
      <c r="I45" s="64">
        <v>42.67</v>
      </c>
      <c r="J45" s="64">
        <f>E45*0.3333</f>
        <v>42.655734000000002</v>
      </c>
      <c r="K45" s="64">
        <f>E45*0.3333</f>
        <v>42.655734000000002</v>
      </c>
    </row>
    <row r="46" spans="1:11" ht="13.5" thickBot="1" x14ac:dyDescent="0.25">
      <c r="A46" s="68" t="s">
        <v>103</v>
      </c>
      <c r="B46" s="68" t="s">
        <v>134</v>
      </c>
      <c r="C46" s="72"/>
      <c r="D46" s="65" t="s">
        <v>342</v>
      </c>
      <c r="E46" s="64">
        <v>105.88</v>
      </c>
      <c r="G46" s="71">
        <v>1</v>
      </c>
      <c r="J46" s="64">
        <v>105.88</v>
      </c>
    </row>
    <row r="47" spans="1:11" ht="13.5" thickBot="1" x14ac:dyDescent="0.25">
      <c r="A47" s="68" t="s">
        <v>103</v>
      </c>
      <c r="B47" s="68" t="s">
        <v>136</v>
      </c>
      <c r="C47" s="72"/>
      <c r="D47" s="65" t="s">
        <v>342</v>
      </c>
      <c r="E47" s="64">
        <v>13261.8</v>
      </c>
      <c r="G47" s="71">
        <v>0.5</v>
      </c>
      <c r="H47" s="71">
        <v>0.5</v>
      </c>
      <c r="J47" s="64">
        <f>E47*0.5</f>
        <v>6630.9</v>
      </c>
      <c r="K47" s="64">
        <f>E47*0.5</f>
        <v>6630.9</v>
      </c>
    </row>
    <row r="48" spans="1:11" ht="13.5" thickBot="1" x14ac:dyDescent="0.25">
      <c r="A48" s="68" t="s">
        <v>103</v>
      </c>
      <c r="B48" s="68" t="s">
        <v>137</v>
      </c>
      <c r="C48" s="72"/>
      <c r="D48" s="65" t="s">
        <v>342</v>
      </c>
      <c r="E48" s="64">
        <v>40014.75</v>
      </c>
      <c r="G48" s="71">
        <v>0.5</v>
      </c>
      <c r="H48" s="71">
        <v>0.5</v>
      </c>
      <c r="J48" s="64">
        <f>E48*0.5</f>
        <v>20007.375</v>
      </c>
      <c r="K48" s="64">
        <f>E48*0.5</f>
        <v>20007.375</v>
      </c>
    </row>
    <row r="49" spans="1:11" ht="13.5" thickBot="1" x14ac:dyDescent="0.25">
      <c r="A49" s="68" t="s">
        <v>103</v>
      </c>
      <c r="B49" s="68" t="s">
        <v>138</v>
      </c>
      <c r="C49" s="72"/>
      <c r="D49" s="65" t="s">
        <v>342</v>
      </c>
      <c r="E49" s="64">
        <v>118877.05</v>
      </c>
      <c r="F49" s="71">
        <v>0.33329999999999999</v>
      </c>
      <c r="G49" s="71">
        <v>0.33329999999999999</v>
      </c>
      <c r="H49" s="71">
        <v>0.33329999999999999</v>
      </c>
      <c r="I49" s="64">
        <f>E49/3</f>
        <v>39625.683333333334</v>
      </c>
      <c r="J49" s="64">
        <f>E49/3</f>
        <v>39625.683333333334</v>
      </c>
      <c r="K49" s="64">
        <f>E49/3</f>
        <v>39625.683333333334</v>
      </c>
    </row>
    <row r="50" spans="1:11" ht="13.5" thickBot="1" x14ac:dyDescent="0.25">
      <c r="A50" s="68" t="s">
        <v>103</v>
      </c>
      <c r="B50" s="68" t="s">
        <v>139</v>
      </c>
      <c r="C50" s="74"/>
      <c r="D50" s="65" t="s">
        <v>342</v>
      </c>
      <c r="E50" s="64">
        <v>152244.84</v>
      </c>
      <c r="G50" s="71">
        <v>1</v>
      </c>
      <c r="J50" s="64">
        <v>152244.84</v>
      </c>
    </row>
    <row r="51" spans="1:11" ht="13.5" thickBot="1" x14ac:dyDescent="0.25">
      <c r="A51" s="68" t="s">
        <v>103</v>
      </c>
      <c r="B51" s="68" t="s">
        <v>143</v>
      </c>
      <c r="C51" s="74"/>
      <c r="D51" s="65" t="s">
        <v>342</v>
      </c>
      <c r="E51" s="64">
        <v>40207.449999999997</v>
      </c>
      <c r="H51" s="71">
        <v>1</v>
      </c>
      <c r="K51" s="64">
        <v>40207.449999999997</v>
      </c>
    </row>
    <row r="52" spans="1:11" ht="13.5" thickBot="1" x14ac:dyDescent="0.25">
      <c r="A52" s="68" t="s">
        <v>103</v>
      </c>
      <c r="B52" s="68" t="s">
        <v>144</v>
      </c>
      <c r="C52" s="74"/>
      <c r="D52" s="65" t="s">
        <v>342</v>
      </c>
      <c r="E52" s="64">
        <v>373678.17</v>
      </c>
      <c r="H52" s="71">
        <v>1</v>
      </c>
      <c r="K52" s="64">
        <v>373678.17</v>
      </c>
    </row>
    <row r="53" spans="1:11" ht="13.5" thickBot="1" x14ac:dyDescent="0.25">
      <c r="A53" s="68" t="s">
        <v>103</v>
      </c>
      <c r="B53" s="68" t="s">
        <v>150</v>
      </c>
      <c r="C53" s="73"/>
      <c r="D53" s="65" t="s">
        <v>342</v>
      </c>
      <c r="E53" s="64">
        <v>391833.5</v>
      </c>
      <c r="G53" s="71">
        <v>0.5</v>
      </c>
      <c r="H53" s="71">
        <v>0.5</v>
      </c>
      <c r="J53" s="64">
        <f>E53*0.5</f>
        <v>195916.75</v>
      </c>
      <c r="K53" s="64">
        <f>E53*0.5</f>
        <v>195916.75</v>
      </c>
    </row>
    <row r="54" spans="1:11" ht="13.5" thickBot="1" x14ac:dyDescent="0.25">
      <c r="A54" s="68" t="s">
        <v>103</v>
      </c>
      <c r="B54" s="68" t="s">
        <v>154</v>
      </c>
      <c r="C54" s="73"/>
      <c r="D54" s="65" t="s">
        <v>342</v>
      </c>
      <c r="E54" s="64">
        <v>39040.11</v>
      </c>
      <c r="F54" s="71">
        <v>0.33329999999999999</v>
      </c>
      <c r="G54" s="71">
        <v>0.33329999999999999</v>
      </c>
      <c r="H54" s="71">
        <v>0.33329999999999999</v>
      </c>
      <c r="I54" s="64">
        <f>E54/3</f>
        <v>13013.37</v>
      </c>
      <c r="J54" s="64">
        <f>E54/3</f>
        <v>13013.37</v>
      </c>
      <c r="K54" s="64">
        <f>E54/3</f>
        <v>13013.37</v>
      </c>
    </row>
    <row r="55" spans="1:11" ht="13.5" thickBot="1" x14ac:dyDescent="0.25">
      <c r="A55" s="68" t="s">
        <v>103</v>
      </c>
      <c r="B55" s="68" t="s">
        <v>161</v>
      </c>
      <c r="C55" s="73"/>
      <c r="D55" s="65" t="s">
        <v>342</v>
      </c>
      <c r="E55" s="64">
        <v>457162.36</v>
      </c>
      <c r="F55" s="71">
        <v>0.33329999999999999</v>
      </c>
      <c r="G55" s="71">
        <v>0.33329999999999999</v>
      </c>
      <c r="H55" s="71">
        <v>0.33329999999999999</v>
      </c>
      <c r="I55" s="64">
        <f>E55/3</f>
        <v>152387.45333333334</v>
      </c>
      <c r="J55" s="64">
        <f>E55/3</f>
        <v>152387.45333333334</v>
      </c>
      <c r="K55" s="64">
        <f>E55/3</f>
        <v>152387.45333333334</v>
      </c>
    </row>
    <row r="56" spans="1:11" ht="13.5" thickBot="1" x14ac:dyDescent="0.25">
      <c r="A56" s="68" t="s">
        <v>103</v>
      </c>
      <c r="B56" s="68" t="s">
        <v>164</v>
      </c>
      <c r="C56" s="73"/>
      <c r="D56" s="65" t="s">
        <v>342</v>
      </c>
      <c r="E56" s="64">
        <v>6204.24</v>
      </c>
      <c r="F56" s="71">
        <v>0.33329999999999999</v>
      </c>
      <c r="G56" s="71">
        <v>0.33329999999999999</v>
      </c>
      <c r="H56" s="71">
        <v>0.33329999999999999</v>
      </c>
      <c r="I56" s="64">
        <f>E56/3</f>
        <v>2068.08</v>
      </c>
      <c r="J56" s="64">
        <f>E56/3</f>
        <v>2068.08</v>
      </c>
      <c r="K56" s="64">
        <f>E56/3</f>
        <v>2068.08</v>
      </c>
    </row>
    <row r="57" spans="1:11" ht="13.5" thickBot="1" x14ac:dyDescent="0.25">
      <c r="A57" s="68" t="s">
        <v>103</v>
      </c>
      <c r="B57" s="68" t="s">
        <v>167</v>
      </c>
      <c r="C57" s="73"/>
      <c r="D57" s="65" t="s">
        <v>342</v>
      </c>
      <c r="E57" s="64">
        <v>337404.04</v>
      </c>
      <c r="F57" s="71">
        <v>0.33329999999999999</v>
      </c>
      <c r="G57" s="71">
        <v>0.33329999999999999</v>
      </c>
      <c r="H57" s="71">
        <v>0.33329999999999999</v>
      </c>
      <c r="I57" s="64">
        <f>E57/3</f>
        <v>112468.01333333332</v>
      </c>
      <c r="J57" s="64">
        <f>E57/3</f>
        <v>112468.01333333332</v>
      </c>
      <c r="K57" s="64">
        <f>E57/3</f>
        <v>112468.01333333332</v>
      </c>
    </row>
    <row r="58" spans="1:11" ht="13.5" thickBot="1" x14ac:dyDescent="0.25">
      <c r="A58" s="68" t="s">
        <v>103</v>
      </c>
      <c r="B58" s="68" t="s">
        <v>173</v>
      </c>
      <c r="C58" s="73"/>
      <c r="D58" s="65" t="s">
        <v>342</v>
      </c>
      <c r="E58" s="64">
        <v>31267.29</v>
      </c>
      <c r="H58" s="71">
        <v>1</v>
      </c>
      <c r="K58" s="64">
        <v>31267.29</v>
      </c>
    </row>
    <row r="59" spans="1:11" ht="13.5" thickBot="1" x14ac:dyDescent="0.25">
      <c r="A59" s="68" t="s">
        <v>103</v>
      </c>
      <c r="B59" s="68" t="s">
        <v>175</v>
      </c>
      <c r="C59" s="73"/>
      <c r="D59" s="65" t="s">
        <v>342</v>
      </c>
      <c r="E59" s="64">
        <v>79342.5</v>
      </c>
      <c r="F59" s="71">
        <v>33.33</v>
      </c>
      <c r="G59" s="71">
        <v>0.33329999999999999</v>
      </c>
      <c r="H59" s="71">
        <v>0.33329999999999999</v>
      </c>
      <c r="I59" s="64">
        <f>E59/3</f>
        <v>26447.5</v>
      </c>
      <c r="J59" s="64">
        <f>E59/3</f>
        <v>26447.5</v>
      </c>
      <c r="K59" s="64">
        <f>E59/3</f>
        <v>26447.5</v>
      </c>
    </row>
    <row r="60" spans="1:11" ht="13.5" thickBot="1" x14ac:dyDescent="0.25">
      <c r="A60" s="68" t="s">
        <v>103</v>
      </c>
      <c r="B60" s="68" t="s">
        <v>189</v>
      </c>
      <c r="C60" s="73"/>
      <c r="D60" s="65" t="s">
        <v>342</v>
      </c>
      <c r="E60" s="64">
        <v>17980.939999999999</v>
      </c>
      <c r="G60" s="71">
        <v>0.5</v>
      </c>
      <c r="H60" s="71">
        <v>0.5</v>
      </c>
      <c r="J60" s="64">
        <f>E60*0.5</f>
        <v>8990.4699999999993</v>
      </c>
      <c r="K60" s="64">
        <f>E60*0.5</f>
        <v>8990.4699999999993</v>
      </c>
    </row>
    <row r="61" spans="1:11" ht="13.5" thickBot="1" x14ac:dyDescent="0.25">
      <c r="A61" s="68" t="s">
        <v>103</v>
      </c>
      <c r="B61" s="68" t="s">
        <v>194</v>
      </c>
      <c r="C61" s="73"/>
      <c r="D61" s="65" t="s">
        <v>342</v>
      </c>
      <c r="E61" s="64">
        <v>7305.97</v>
      </c>
      <c r="F61" s="71">
        <v>0.33329999999999999</v>
      </c>
      <c r="G61" s="71">
        <v>0.33329999999999999</v>
      </c>
      <c r="H61" s="71">
        <v>0.33329999999999999</v>
      </c>
      <c r="I61" s="64">
        <f t="shared" ref="I61:I66" si="0">E61/3</f>
        <v>2435.3233333333333</v>
      </c>
      <c r="J61" s="64">
        <f t="shared" ref="J61:J66" si="1">E61/3</f>
        <v>2435.3233333333333</v>
      </c>
      <c r="K61" s="64">
        <f t="shared" ref="K61:K66" si="2">E61/3</f>
        <v>2435.3233333333333</v>
      </c>
    </row>
    <row r="62" spans="1:11" ht="13.5" thickBot="1" x14ac:dyDescent="0.25">
      <c r="A62" s="68" t="s">
        <v>103</v>
      </c>
      <c r="B62" s="68" t="s">
        <v>205</v>
      </c>
      <c r="C62" s="73"/>
      <c r="D62" s="65" t="s">
        <v>342</v>
      </c>
      <c r="E62" s="64">
        <v>1984365.44</v>
      </c>
      <c r="F62" s="71">
        <v>0.33329999999999999</v>
      </c>
      <c r="G62" s="71">
        <v>0.33329999999999999</v>
      </c>
      <c r="H62" s="71">
        <v>0.33329999999999999</v>
      </c>
      <c r="I62" s="64">
        <f t="shared" si="0"/>
        <v>661455.14666666661</v>
      </c>
      <c r="J62" s="64">
        <f t="shared" si="1"/>
        <v>661455.14666666661</v>
      </c>
      <c r="K62" s="64">
        <f t="shared" si="2"/>
        <v>661455.14666666661</v>
      </c>
    </row>
    <row r="63" spans="1:11" ht="13.5" thickBot="1" x14ac:dyDescent="0.25">
      <c r="A63" s="68" t="s">
        <v>103</v>
      </c>
      <c r="B63" s="68" t="s">
        <v>211</v>
      </c>
      <c r="C63" s="73"/>
      <c r="D63" s="65" t="s">
        <v>342</v>
      </c>
      <c r="E63" s="64">
        <v>120147.89</v>
      </c>
      <c r="F63" s="71">
        <v>0.33329999999999999</v>
      </c>
      <c r="G63" s="71">
        <v>0.33329999999999999</v>
      </c>
      <c r="H63" s="71">
        <v>0.33329999999999999</v>
      </c>
      <c r="I63" s="64">
        <f t="shared" si="0"/>
        <v>40049.296666666669</v>
      </c>
      <c r="J63" s="64">
        <f t="shared" si="1"/>
        <v>40049.296666666669</v>
      </c>
      <c r="K63" s="64">
        <f t="shared" si="2"/>
        <v>40049.296666666669</v>
      </c>
    </row>
    <row r="64" spans="1:11" ht="13.5" thickBot="1" x14ac:dyDescent="0.25">
      <c r="A64" s="68" t="s">
        <v>103</v>
      </c>
      <c r="B64" s="68" t="s">
        <v>213</v>
      </c>
      <c r="C64" s="73"/>
      <c r="D64" s="65" t="s">
        <v>342</v>
      </c>
      <c r="E64" s="64">
        <v>251947.66</v>
      </c>
      <c r="F64" s="71">
        <v>0.33329999999999999</v>
      </c>
      <c r="G64" s="71">
        <v>0.33329999999999999</v>
      </c>
      <c r="H64" s="71">
        <v>0.33329999999999999</v>
      </c>
      <c r="I64" s="64">
        <f t="shared" si="0"/>
        <v>83982.55333333333</v>
      </c>
      <c r="J64" s="64">
        <f t="shared" si="1"/>
        <v>83982.55333333333</v>
      </c>
      <c r="K64" s="64">
        <f t="shared" si="2"/>
        <v>83982.55333333333</v>
      </c>
    </row>
    <row r="65" spans="1:11" ht="13.5" thickBot="1" x14ac:dyDescent="0.25">
      <c r="A65" s="68" t="s">
        <v>103</v>
      </c>
      <c r="B65" s="68" t="s">
        <v>216</v>
      </c>
      <c r="C65" s="73"/>
      <c r="D65" s="65" t="s">
        <v>342</v>
      </c>
      <c r="E65" s="64">
        <v>66811.58</v>
      </c>
      <c r="F65" s="71">
        <v>0.33329999999999999</v>
      </c>
      <c r="G65" s="71">
        <v>0.33329999999999999</v>
      </c>
      <c r="H65" s="71">
        <v>0.33329999999999999</v>
      </c>
      <c r="I65" s="64">
        <f t="shared" si="0"/>
        <v>22270.526666666668</v>
      </c>
      <c r="J65" s="64">
        <f t="shared" si="1"/>
        <v>22270.526666666668</v>
      </c>
      <c r="K65" s="64">
        <f t="shared" si="2"/>
        <v>22270.526666666668</v>
      </c>
    </row>
    <row r="66" spans="1:11" ht="13.5" thickBot="1" x14ac:dyDescent="0.25">
      <c r="A66" s="68" t="s">
        <v>103</v>
      </c>
      <c r="B66" s="68" t="s">
        <v>217</v>
      </c>
      <c r="C66" s="73"/>
      <c r="D66" s="65" t="s">
        <v>342</v>
      </c>
      <c r="E66" s="64">
        <v>-8366.0400000000009</v>
      </c>
      <c r="F66" s="71">
        <v>0.33329999999999999</v>
      </c>
      <c r="G66" s="71">
        <v>0.33329999999999999</v>
      </c>
      <c r="H66" s="71">
        <v>0.33329999999999999</v>
      </c>
      <c r="I66" s="64">
        <f t="shared" si="0"/>
        <v>-2788.6800000000003</v>
      </c>
      <c r="J66" s="64">
        <f t="shared" si="1"/>
        <v>-2788.6800000000003</v>
      </c>
      <c r="K66" s="64">
        <f t="shared" si="2"/>
        <v>-2788.6800000000003</v>
      </c>
    </row>
    <row r="67" spans="1:11" ht="13.5" thickBot="1" x14ac:dyDescent="0.25">
      <c r="A67" s="68" t="s">
        <v>103</v>
      </c>
      <c r="B67" s="68" t="s">
        <v>225</v>
      </c>
      <c r="C67" s="73"/>
      <c r="D67" s="65" t="s">
        <v>342</v>
      </c>
      <c r="E67" s="64">
        <v>36.4</v>
      </c>
      <c r="G67" s="71">
        <v>0.5</v>
      </c>
      <c r="H67" s="71">
        <v>0.5</v>
      </c>
      <c r="J67" s="64">
        <f>E67*0.5</f>
        <v>18.2</v>
      </c>
      <c r="K67" s="64">
        <f>E67*0.5</f>
        <v>18.2</v>
      </c>
    </row>
    <row r="68" spans="1:11" ht="13.5" thickBot="1" x14ac:dyDescent="0.25">
      <c r="A68" s="68" t="s">
        <v>103</v>
      </c>
      <c r="B68" s="68" t="s">
        <v>228</v>
      </c>
      <c r="C68" s="73"/>
      <c r="D68" s="65" t="s">
        <v>342</v>
      </c>
      <c r="E68" s="64">
        <v>230490.61</v>
      </c>
      <c r="F68" s="71">
        <v>0.33329999999999999</v>
      </c>
      <c r="G68" s="71">
        <v>0.33329999999999999</v>
      </c>
      <c r="H68" s="71">
        <v>0.33329999999999999</v>
      </c>
      <c r="I68" s="64">
        <f>E68/3</f>
        <v>76830.203333333324</v>
      </c>
      <c r="J68" s="64">
        <f>E68/3</f>
        <v>76830.203333333324</v>
      </c>
      <c r="K68" s="64">
        <f>E68/3</f>
        <v>76830.203333333324</v>
      </c>
    </row>
    <row r="69" spans="1:11" ht="13.5" thickBot="1" x14ac:dyDescent="0.25">
      <c r="A69" s="68" t="s">
        <v>103</v>
      </c>
      <c r="B69" s="68" t="s">
        <v>229</v>
      </c>
      <c r="C69" s="73"/>
      <c r="D69" s="65" t="s">
        <v>342</v>
      </c>
      <c r="E69" s="64">
        <v>383095.81</v>
      </c>
      <c r="F69" s="71">
        <v>0.33329999999999999</v>
      </c>
      <c r="G69" s="71">
        <v>0.33329999999999999</v>
      </c>
      <c r="H69" s="71">
        <v>0.33329999999999999</v>
      </c>
      <c r="I69" s="64">
        <f>E69/3</f>
        <v>127698.60333333333</v>
      </c>
      <c r="J69" s="64">
        <f>E69/3</f>
        <v>127698.60333333333</v>
      </c>
      <c r="K69" s="64">
        <f>E69/3</f>
        <v>127698.60333333333</v>
      </c>
    </row>
    <row r="70" spans="1:11" ht="13.5" thickBot="1" x14ac:dyDescent="0.25">
      <c r="A70" s="68" t="s">
        <v>103</v>
      </c>
      <c r="B70" s="68" t="s">
        <v>235</v>
      </c>
      <c r="D70" s="65" t="s">
        <v>342</v>
      </c>
      <c r="E70" s="76">
        <v>119092.29</v>
      </c>
      <c r="F70" s="77">
        <v>0.33329999999999999</v>
      </c>
      <c r="G70" s="77">
        <v>0.33329999999999999</v>
      </c>
      <c r="H70" s="77">
        <v>0.33329999999999999</v>
      </c>
      <c r="I70" s="76">
        <f>E70/3</f>
        <v>39697.43</v>
      </c>
      <c r="J70" s="76">
        <f>E70/3</f>
        <v>39697.43</v>
      </c>
      <c r="K70" s="76">
        <f>E70/3</f>
        <v>39697.43</v>
      </c>
    </row>
    <row r="71" spans="1:11" s="81" customFormat="1" ht="13.5" thickBot="1" x14ac:dyDescent="0.25">
      <c r="A71" s="80"/>
      <c r="B71" s="80"/>
      <c r="C71" s="63"/>
      <c r="D71" s="63"/>
      <c r="E71" s="60">
        <f>SUM(E39:E70)</f>
        <v>5685978.1900000004</v>
      </c>
      <c r="F71" s="61"/>
      <c r="G71" s="61"/>
      <c r="H71" s="61"/>
      <c r="I71" s="60">
        <f>SUM(I39:I70)</f>
        <v>1426573.2133333331</v>
      </c>
      <c r="J71" s="60">
        <f>SUM(J39:J70)</f>
        <v>2124305.1440673331</v>
      </c>
      <c r="K71" s="60">
        <f>SUM(K39:K70)</f>
        <v>2135099.834067333</v>
      </c>
    </row>
    <row r="72" spans="1:11" ht="13.5" thickBot="1" x14ac:dyDescent="0.25">
      <c r="A72" s="68" t="s">
        <v>103</v>
      </c>
      <c r="B72" s="68" t="s">
        <v>233</v>
      </c>
      <c r="D72" s="65" t="s">
        <v>343</v>
      </c>
      <c r="E72" s="64">
        <v>261962.91</v>
      </c>
      <c r="G72" s="71">
        <v>1</v>
      </c>
      <c r="J72" s="64">
        <v>261962.91</v>
      </c>
    </row>
    <row r="73" spans="1:11" ht="13.5" thickBot="1" x14ac:dyDescent="0.25">
      <c r="A73" s="68" t="s">
        <v>286</v>
      </c>
      <c r="B73" s="68" t="s">
        <v>287</v>
      </c>
      <c r="C73" s="70"/>
      <c r="D73" s="70" t="s">
        <v>343</v>
      </c>
      <c r="E73" s="64">
        <v>44854.35</v>
      </c>
      <c r="G73" s="71">
        <v>1</v>
      </c>
      <c r="J73" s="64">
        <v>44854.35</v>
      </c>
    </row>
    <row r="74" spans="1:11" ht="13.5" thickBot="1" x14ac:dyDescent="0.25">
      <c r="A74" s="68" t="s">
        <v>286</v>
      </c>
      <c r="B74" s="68" t="s">
        <v>288</v>
      </c>
      <c r="C74" s="70"/>
      <c r="D74" s="70" t="s">
        <v>343</v>
      </c>
      <c r="E74" s="64">
        <v>65523.27</v>
      </c>
      <c r="G74" s="71">
        <v>1</v>
      </c>
      <c r="J74" s="64">
        <v>65523.27</v>
      </c>
    </row>
    <row r="75" spans="1:11" ht="13.5" thickBot="1" x14ac:dyDescent="0.25">
      <c r="A75" s="68" t="s">
        <v>286</v>
      </c>
      <c r="B75" s="68" t="s">
        <v>289</v>
      </c>
      <c r="C75" s="70"/>
      <c r="D75" s="70" t="s">
        <v>343</v>
      </c>
      <c r="E75" s="64">
        <v>38753.51</v>
      </c>
      <c r="G75" s="71">
        <v>1</v>
      </c>
      <c r="J75" s="64">
        <v>38753.51</v>
      </c>
    </row>
    <row r="76" spans="1:11" ht="13.5" thickBot="1" x14ac:dyDescent="0.25">
      <c r="A76" s="68" t="s">
        <v>286</v>
      </c>
      <c r="B76" s="68" t="s">
        <v>290</v>
      </c>
      <c r="C76" s="72"/>
      <c r="D76" s="70" t="s">
        <v>343</v>
      </c>
      <c r="E76" s="64">
        <v>1604.95</v>
      </c>
      <c r="G76" s="71">
        <v>1</v>
      </c>
      <c r="J76" s="64">
        <v>1604.95</v>
      </c>
    </row>
    <row r="77" spans="1:11" ht="13.5" thickBot="1" x14ac:dyDescent="0.25">
      <c r="A77" s="68" t="s">
        <v>286</v>
      </c>
      <c r="B77" s="68" t="s">
        <v>291</v>
      </c>
      <c r="D77" s="70" t="s">
        <v>343</v>
      </c>
      <c r="E77" s="64">
        <v>1179999.9099999999</v>
      </c>
      <c r="G77" s="71">
        <v>1</v>
      </c>
      <c r="J77" s="64">
        <v>1179999.9099999999</v>
      </c>
    </row>
    <row r="78" spans="1:11" ht="13.5" thickBot="1" x14ac:dyDescent="0.25">
      <c r="A78" s="68" t="s">
        <v>286</v>
      </c>
      <c r="B78" s="68" t="s">
        <v>292</v>
      </c>
      <c r="D78" s="70" t="s">
        <v>343</v>
      </c>
      <c r="E78" s="64">
        <v>200</v>
      </c>
      <c r="G78" s="71">
        <v>1</v>
      </c>
      <c r="J78" s="64">
        <v>200</v>
      </c>
    </row>
    <row r="79" spans="1:11" ht="13.5" thickBot="1" x14ac:dyDescent="0.25">
      <c r="A79" s="68" t="s">
        <v>286</v>
      </c>
      <c r="B79" s="68" t="s">
        <v>293</v>
      </c>
      <c r="D79" s="70" t="s">
        <v>343</v>
      </c>
      <c r="E79" s="64">
        <v>24220</v>
      </c>
      <c r="G79" s="71">
        <v>1</v>
      </c>
      <c r="J79" s="64">
        <v>24220</v>
      </c>
    </row>
    <row r="80" spans="1:11" ht="13.5" thickBot="1" x14ac:dyDescent="0.25">
      <c r="A80" s="68" t="s">
        <v>286</v>
      </c>
      <c r="B80" s="68" t="s">
        <v>294</v>
      </c>
      <c r="D80" s="70" t="s">
        <v>343</v>
      </c>
      <c r="E80" s="64">
        <v>61694.5</v>
      </c>
      <c r="G80" s="71">
        <v>1</v>
      </c>
      <c r="J80" s="64">
        <v>61694.5</v>
      </c>
    </row>
    <row r="81" spans="1:11" ht="13.5" thickBot="1" x14ac:dyDescent="0.25">
      <c r="A81" s="68" t="s">
        <v>286</v>
      </c>
      <c r="B81" s="68" t="s">
        <v>295</v>
      </c>
      <c r="D81" s="70" t="s">
        <v>343</v>
      </c>
      <c r="E81" s="64">
        <v>42</v>
      </c>
      <c r="G81" s="71">
        <v>1</v>
      </c>
      <c r="J81" s="64">
        <v>42</v>
      </c>
    </row>
    <row r="82" spans="1:11" ht="13.5" thickBot="1" x14ac:dyDescent="0.25">
      <c r="A82" s="68" t="s">
        <v>286</v>
      </c>
      <c r="B82" s="68" t="s">
        <v>296</v>
      </c>
      <c r="D82" s="70" t="s">
        <v>343</v>
      </c>
      <c r="E82" s="64">
        <v>236040.83</v>
      </c>
      <c r="G82" s="71">
        <v>1</v>
      </c>
      <c r="J82" s="64">
        <v>236040.83</v>
      </c>
    </row>
    <row r="83" spans="1:11" ht="13.5" thickBot="1" x14ac:dyDescent="0.25">
      <c r="A83" s="68" t="s">
        <v>286</v>
      </c>
      <c r="B83" s="68" t="s">
        <v>297</v>
      </c>
      <c r="D83" s="70" t="s">
        <v>343</v>
      </c>
      <c r="E83" s="64">
        <v>986239.38</v>
      </c>
      <c r="G83" s="71">
        <v>1</v>
      </c>
      <c r="J83" s="64">
        <v>986239.38</v>
      </c>
    </row>
    <row r="84" spans="1:11" ht="13.5" thickBot="1" x14ac:dyDescent="0.25">
      <c r="A84" s="68" t="s">
        <v>286</v>
      </c>
      <c r="B84" s="68" t="s">
        <v>298</v>
      </c>
      <c r="D84" s="70" t="s">
        <v>343</v>
      </c>
      <c r="E84" s="64">
        <v>18715.34</v>
      </c>
      <c r="G84" s="71">
        <v>1</v>
      </c>
      <c r="J84" s="64">
        <v>18715.34</v>
      </c>
    </row>
    <row r="85" spans="1:11" ht="13.5" thickBot="1" x14ac:dyDescent="0.25">
      <c r="A85" s="68" t="s">
        <v>286</v>
      </c>
      <c r="B85" s="68" t="s">
        <v>299</v>
      </c>
      <c r="D85" s="70" t="s">
        <v>343</v>
      </c>
      <c r="E85" s="64">
        <v>324190.82</v>
      </c>
      <c r="G85" s="71">
        <v>1</v>
      </c>
      <c r="J85" s="64">
        <v>324190.82</v>
      </c>
    </row>
    <row r="86" spans="1:11" ht="13.5" thickBot="1" x14ac:dyDescent="0.25">
      <c r="A86" s="68" t="s">
        <v>286</v>
      </c>
      <c r="B86" s="68" t="s">
        <v>300</v>
      </c>
      <c r="D86" s="70" t="s">
        <v>343</v>
      </c>
      <c r="E86" s="64">
        <v>352035.58</v>
      </c>
      <c r="G86" s="71">
        <v>1</v>
      </c>
      <c r="J86" s="64">
        <v>352035.58</v>
      </c>
    </row>
    <row r="87" spans="1:11" ht="13.5" thickBot="1" x14ac:dyDescent="0.25">
      <c r="A87" s="68" t="s">
        <v>286</v>
      </c>
      <c r="B87" s="68" t="s">
        <v>301</v>
      </c>
      <c r="D87" s="70" t="s">
        <v>343</v>
      </c>
      <c r="E87" s="64">
        <v>2125.36</v>
      </c>
      <c r="G87" s="71">
        <v>1</v>
      </c>
      <c r="J87" s="64">
        <v>2125.36</v>
      </c>
    </row>
    <row r="88" spans="1:11" ht="13.5" thickBot="1" x14ac:dyDescent="0.25">
      <c r="A88" s="68" t="s">
        <v>286</v>
      </c>
      <c r="B88" s="68" t="s">
        <v>302</v>
      </c>
      <c r="D88" s="70" t="s">
        <v>343</v>
      </c>
      <c r="E88" s="64">
        <v>7050523.6399999997</v>
      </c>
      <c r="G88" s="71">
        <v>1</v>
      </c>
      <c r="J88" s="64">
        <v>7050523.6399999997</v>
      </c>
    </row>
    <row r="89" spans="1:11" ht="13.5" thickBot="1" x14ac:dyDescent="0.25">
      <c r="A89" s="68" t="s">
        <v>286</v>
      </c>
      <c r="B89" s="68" t="s">
        <v>303</v>
      </c>
      <c r="D89" s="70" t="s">
        <v>343</v>
      </c>
      <c r="E89" s="76">
        <v>134935.23000000001</v>
      </c>
      <c r="F89" s="77"/>
      <c r="G89" s="77">
        <v>1</v>
      </c>
      <c r="H89" s="77"/>
      <c r="I89" s="76"/>
      <c r="J89" s="76">
        <v>134935.23000000001</v>
      </c>
      <c r="K89" s="76"/>
    </row>
    <row r="90" spans="1:11" s="81" customFormat="1" ht="13.5" thickBot="1" x14ac:dyDescent="0.25">
      <c r="A90" s="80"/>
      <c r="B90" s="80"/>
      <c r="C90" s="63"/>
      <c r="D90" s="66"/>
      <c r="E90" s="60">
        <f>SUM(E72:E89)</f>
        <v>10783661.58</v>
      </c>
      <c r="F90" s="61"/>
      <c r="G90" s="61"/>
      <c r="H90" s="61"/>
      <c r="I90" s="60">
        <f>SUM(I72:I89)</f>
        <v>0</v>
      </c>
      <c r="J90" s="60">
        <f>SUM(J72:J89)</f>
        <v>10783661.58</v>
      </c>
      <c r="K90" s="60">
        <f>SUM(K72:K89)</f>
        <v>0</v>
      </c>
    </row>
    <row r="91" spans="1:11" ht="13.5" thickBot="1" x14ac:dyDescent="0.25">
      <c r="A91" s="68" t="s">
        <v>260</v>
      </c>
      <c r="B91" s="68" t="s">
        <v>268</v>
      </c>
      <c r="C91" s="73"/>
      <c r="D91" s="70" t="s">
        <v>344</v>
      </c>
      <c r="E91" s="64">
        <v>112354.28</v>
      </c>
      <c r="G91" s="71">
        <v>1</v>
      </c>
      <c r="J91" s="64">
        <v>112354.28</v>
      </c>
    </row>
    <row r="92" spans="1:11" ht="13.5" thickBot="1" x14ac:dyDescent="0.25">
      <c r="A92" s="68" t="s">
        <v>260</v>
      </c>
      <c r="B92" s="68" t="s">
        <v>269</v>
      </c>
      <c r="D92" s="70" t="s">
        <v>344</v>
      </c>
      <c r="E92" s="64">
        <v>462</v>
      </c>
      <c r="G92" s="71">
        <v>1</v>
      </c>
      <c r="J92" s="64">
        <v>462</v>
      </c>
    </row>
    <row r="93" spans="1:11" ht="13.5" thickBot="1" x14ac:dyDescent="0.25">
      <c r="A93" s="68" t="s">
        <v>260</v>
      </c>
      <c r="B93" s="68" t="s">
        <v>270</v>
      </c>
      <c r="D93" s="70" t="s">
        <v>344</v>
      </c>
      <c r="E93" s="64">
        <v>36370</v>
      </c>
      <c r="G93" s="71">
        <v>1</v>
      </c>
      <c r="J93" s="64">
        <v>36370</v>
      </c>
    </row>
    <row r="94" spans="1:11" ht="13.5" thickBot="1" x14ac:dyDescent="0.25">
      <c r="A94" s="68" t="s">
        <v>260</v>
      </c>
      <c r="B94" s="68" t="s">
        <v>271</v>
      </c>
      <c r="D94" s="70" t="s">
        <v>344</v>
      </c>
      <c r="E94" s="64">
        <v>26495.53</v>
      </c>
      <c r="G94" s="71">
        <v>1</v>
      </c>
      <c r="J94" s="64">
        <v>26495.53</v>
      </c>
    </row>
    <row r="95" spans="1:11" ht="13.5" thickBot="1" x14ac:dyDescent="0.25">
      <c r="A95" s="68" t="s">
        <v>260</v>
      </c>
      <c r="B95" s="68" t="s">
        <v>273</v>
      </c>
      <c r="D95" s="70" t="s">
        <v>344</v>
      </c>
      <c r="E95" s="64">
        <v>575.85</v>
      </c>
      <c r="G95" s="71">
        <v>1</v>
      </c>
      <c r="J95" s="64">
        <v>575.85</v>
      </c>
    </row>
    <row r="96" spans="1:11" ht="13.5" thickBot="1" x14ac:dyDescent="0.25">
      <c r="A96" s="68" t="s">
        <v>260</v>
      </c>
      <c r="B96" s="68" t="s">
        <v>277</v>
      </c>
      <c r="D96" s="65" t="s">
        <v>344</v>
      </c>
      <c r="E96" s="64">
        <v>664.58</v>
      </c>
      <c r="G96" s="71">
        <v>1</v>
      </c>
      <c r="J96" s="64">
        <v>664.58</v>
      </c>
    </row>
    <row r="97" spans="1:11" ht="13.5" thickBot="1" x14ac:dyDescent="0.25">
      <c r="A97" s="68" t="s">
        <v>260</v>
      </c>
      <c r="B97" s="68" t="s">
        <v>278</v>
      </c>
      <c r="D97" s="65" t="s">
        <v>344</v>
      </c>
      <c r="E97" s="76">
        <v>35180</v>
      </c>
      <c r="F97" s="77"/>
      <c r="G97" s="77">
        <v>1</v>
      </c>
      <c r="H97" s="77"/>
      <c r="I97" s="76"/>
      <c r="J97" s="76">
        <v>35180</v>
      </c>
      <c r="K97" s="76"/>
    </row>
    <row r="98" spans="1:11" s="81" customFormat="1" ht="13.5" thickBot="1" x14ac:dyDescent="0.25">
      <c r="A98" s="80"/>
      <c r="B98" s="80"/>
      <c r="C98" s="63"/>
      <c r="D98" s="63"/>
      <c r="E98" s="60">
        <f>SUM(E91:E97)</f>
        <v>212102.24</v>
      </c>
      <c r="F98" s="60"/>
      <c r="G98" s="60"/>
      <c r="H98" s="60"/>
      <c r="I98" s="60">
        <f>SUM(I91:I97)</f>
        <v>0</v>
      </c>
      <c r="J98" s="60">
        <f>SUM(J91:J97)</f>
        <v>212102.24</v>
      </c>
      <c r="K98" s="60">
        <f>SUM(K91:K97)</f>
        <v>0</v>
      </c>
    </row>
    <row r="99" spans="1:11" ht="13.5" thickBot="1" x14ac:dyDescent="0.25">
      <c r="A99" s="68" t="s">
        <v>314</v>
      </c>
      <c r="B99" s="68" t="s">
        <v>315</v>
      </c>
      <c r="C99" s="72"/>
      <c r="D99" s="72" t="s">
        <v>340</v>
      </c>
      <c r="E99" s="64">
        <v>189039.37</v>
      </c>
      <c r="F99" s="71">
        <v>1</v>
      </c>
      <c r="I99" s="64">
        <v>189039.37</v>
      </c>
    </row>
    <row r="100" spans="1:11" ht="13.5" thickBot="1" x14ac:dyDescent="0.25">
      <c r="A100" s="68" t="s">
        <v>314</v>
      </c>
      <c r="B100" s="68" t="s">
        <v>316</v>
      </c>
      <c r="C100" s="72"/>
      <c r="D100" s="72" t="s">
        <v>340</v>
      </c>
      <c r="E100" s="64">
        <v>105995.41</v>
      </c>
      <c r="F100" s="71">
        <v>1</v>
      </c>
      <c r="I100" s="64">
        <v>105995.41</v>
      </c>
    </row>
    <row r="101" spans="1:11" ht="13.5" thickBot="1" x14ac:dyDescent="0.25">
      <c r="A101" s="68" t="s">
        <v>314</v>
      </c>
      <c r="B101" s="68" t="s">
        <v>317</v>
      </c>
      <c r="C101" s="72"/>
      <c r="D101" s="72" t="s">
        <v>340</v>
      </c>
      <c r="E101" s="64">
        <v>260</v>
      </c>
      <c r="F101" s="71">
        <v>1</v>
      </c>
      <c r="I101" s="64">
        <v>260</v>
      </c>
    </row>
    <row r="102" spans="1:11" ht="13.5" thickBot="1" x14ac:dyDescent="0.25">
      <c r="A102" s="68" t="s">
        <v>314</v>
      </c>
      <c r="B102" s="68" t="s">
        <v>318</v>
      </c>
      <c r="C102" s="72"/>
      <c r="D102" s="72" t="s">
        <v>340</v>
      </c>
      <c r="E102" s="64">
        <v>99703.98</v>
      </c>
      <c r="F102" s="71">
        <v>1</v>
      </c>
      <c r="I102" s="64">
        <v>99703.98</v>
      </c>
    </row>
    <row r="103" spans="1:11" ht="13.5" thickBot="1" x14ac:dyDescent="0.25">
      <c r="A103" s="68" t="s">
        <v>314</v>
      </c>
      <c r="B103" s="68" t="s">
        <v>319</v>
      </c>
      <c r="D103" s="65" t="s">
        <v>340</v>
      </c>
      <c r="E103" s="64">
        <v>-838.67</v>
      </c>
      <c r="G103" s="71">
        <v>1</v>
      </c>
      <c r="J103" s="64">
        <v>-838.67</v>
      </c>
    </row>
    <row r="104" spans="1:11" ht="13.5" thickBot="1" x14ac:dyDescent="0.25">
      <c r="A104" s="68" t="s">
        <v>314</v>
      </c>
      <c r="B104" s="68" t="s">
        <v>320</v>
      </c>
      <c r="D104" s="65" t="s">
        <v>340</v>
      </c>
      <c r="E104" s="64">
        <v>7643</v>
      </c>
      <c r="G104" s="71">
        <v>1</v>
      </c>
      <c r="J104" s="64">
        <v>7643</v>
      </c>
    </row>
    <row r="105" spans="1:11" ht="13.5" thickBot="1" x14ac:dyDescent="0.25">
      <c r="A105" s="68" t="s">
        <v>314</v>
      </c>
      <c r="B105" s="68" t="s">
        <v>321</v>
      </c>
      <c r="D105" s="65" t="s">
        <v>340</v>
      </c>
      <c r="E105" s="64">
        <v>22854.73</v>
      </c>
      <c r="G105" s="71">
        <v>1</v>
      </c>
      <c r="J105" s="64">
        <v>22854.73</v>
      </c>
    </row>
    <row r="106" spans="1:11" ht="13.5" thickBot="1" x14ac:dyDescent="0.25">
      <c r="A106" s="68" t="s">
        <v>314</v>
      </c>
      <c r="B106" s="68" t="s">
        <v>322</v>
      </c>
      <c r="D106" s="65" t="s">
        <v>340</v>
      </c>
      <c r="E106" s="64">
        <v>59317.47</v>
      </c>
      <c r="G106" s="71">
        <v>1</v>
      </c>
      <c r="J106" s="64">
        <v>59317.47</v>
      </c>
    </row>
    <row r="107" spans="1:11" ht="13.5" thickBot="1" x14ac:dyDescent="0.25">
      <c r="A107" s="68" t="s">
        <v>314</v>
      </c>
      <c r="B107" s="68" t="s">
        <v>323</v>
      </c>
      <c r="D107" s="65" t="s">
        <v>340</v>
      </c>
      <c r="E107" s="64">
        <v>905</v>
      </c>
      <c r="G107" s="71">
        <v>1</v>
      </c>
      <c r="J107" s="64">
        <v>905</v>
      </c>
    </row>
    <row r="108" spans="1:11" ht="13.5" thickBot="1" x14ac:dyDescent="0.25">
      <c r="A108" s="68" t="s">
        <v>314</v>
      </c>
      <c r="B108" s="68" t="s">
        <v>324</v>
      </c>
      <c r="D108" s="65" t="s">
        <v>340</v>
      </c>
      <c r="E108" s="64">
        <v>91585.21</v>
      </c>
      <c r="G108" s="71">
        <v>1</v>
      </c>
      <c r="J108" s="64">
        <v>91585.21</v>
      </c>
    </row>
    <row r="109" spans="1:11" ht="13.5" thickBot="1" x14ac:dyDescent="0.25">
      <c r="A109" s="68" t="s">
        <v>314</v>
      </c>
      <c r="B109" s="68" t="s">
        <v>325</v>
      </c>
      <c r="C109" s="73"/>
      <c r="D109" s="65" t="s">
        <v>340</v>
      </c>
      <c r="E109" s="64">
        <v>92551.61</v>
      </c>
      <c r="G109" s="71">
        <v>1</v>
      </c>
      <c r="J109" s="64">
        <v>92551.61</v>
      </c>
    </row>
    <row r="110" spans="1:11" ht="13.5" thickBot="1" x14ac:dyDescent="0.25">
      <c r="A110" s="68" t="s">
        <v>314</v>
      </c>
      <c r="B110" s="68" t="s">
        <v>326</v>
      </c>
      <c r="D110" s="65" t="s">
        <v>340</v>
      </c>
      <c r="E110" s="64">
        <v>8346.15</v>
      </c>
      <c r="G110" s="71">
        <v>1</v>
      </c>
      <c r="J110" s="64">
        <v>8346.15</v>
      </c>
    </row>
    <row r="111" spans="1:11" ht="13.5" thickBot="1" x14ac:dyDescent="0.25">
      <c r="A111" s="68" t="s">
        <v>314</v>
      </c>
      <c r="B111" s="68" t="s">
        <v>327</v>
      </c>
      <c r="C111" s="73"/>
      <c r="D111" s="65" t="s">
        <v>340</v>
      </c>
      <c r="E111" s="76">
        <v>7311.5</v>
      </c>
      <c r="F111" s="77"/>
      <c r="G111" s="77">
        <v>1</v>
      </c>
      <c r="H111" s="77"/>
      <c r="I111" s="76"/>
      <c r="J111" s="76">
        <v>7311.5</v>
      </c>
      <c r="K111" s="76"/>
    </row>
    <row r="112" spans="1:11" s="81" customFormat="1" ht="13.5" thickBot="1" x14ac:dyDescent="0.25">
      <c r="A112" s="80"/>
      <c r="B112" s="80"/>
      <c r="C112" s="83"/>
      <c r="D112" s="63"/>
      <c r="E112" s="84">
        <f>SUM(E99:E111)</f>
        <v>684674.76</v>
      </c>
      <c r="F112" s="85"/>
      <c r="G112" s="85"/>
      <c r="H112" s="85"/>
      <c r="I112" s="84">
        <f>SUM(I99:I111)</f>
        <v>394998.76</v>
      </c>
      <c r="J112" s="84">
        <f>SUM(J99:J111)</f>
        <v>289676</v>
      </c>
      <c r="K112" s="84">
        <f>SUM(K99:K111)</f>
        <v>0</v>
      </c>
    </row>
    <row r="113" spans="1:11" ht="13.5" thickBot="1" x14ac:dyDescent="0.25">
      <c r="A113" s="68" t="s">
        <v>103</v>
      </c>
      <c r="B113" s="68" t="s">
        <v>127</v>
      </c>
      <c r="C113" s="79"/>
      <c r="D113" s="70" t="s">
        <v>345</v>
      </c>
      <c r="E113" s="64">
        <v>30943.41</v>
      </c>
      <c r="F113" s="71">
        <v>0.34</v>
      </c>
      <c r="G113" s="71">
        <v>0.33</v>
      </c>
      <c r="H113" s="71">
        <v>0.33</v>
      </c>
      <c r="I113" s="64">
        <f>E113*0.34</f>
        <v>10520.759400000001</v>
      </c>
      <c r="J113" s="64">
        <f>E113*0.33</f>
        <v>10211.3253</v>
      </c>
      <c r="K113" s="64">
        <f>E113*0.33</f>
        <v>10211.3253</v>
      </c>
    </row>
    <row r="114" spans="1:11" ht="13.5" thickBot="1" x14ac:dyDescent="0.25">
      <c r="A114" s="68" t="s">
        <v>103</v>
      </c>
      <c r="B114" s="68" t="s">
        <v>236</v>
      </c>
      <c r="C114" s="73"/>
      <c r="D114" s="65" t="s">
        <v>345</v>
      </c>
      <c r="E114" s="64">
        <v>20681.150000000001</v>
      </c>
      <c r="F114" s="71">
        <v>0.34</v>
      </c>
      <c r="G114" s="71">
        <v>0.33</v>
      </c>
      <c r="H114" s="71">
        <v>0.33</v>
      </c>
      <c r="I114" s="64">
        <f>E114*0.34</f>
        <v>7031.5910000000013</v>
      </c>
      <c r="J114" s="64">
        <f>E114*0.33</f>
        <v>6824.7795000000006</v>
      </c>
      <c r="K114" s="64">
        <f>E114*0.33</f>
        <v>6824.7795000000006</v>
      </c>
    </row>
    <row r="115" spans="1:11" ht="13.5" thickBot="1" x14ac:dyDescent="0.25">
      <c r="A115" s="68" t="s">
        <v>279</v>
      </c>
      <c r="B115" s="68" t="s">
        <v>281</v>
      </c>
      <c r="D115" s="65" t="s">
        <v>345</v>
      </c>
      <c r="E115" s="64">
        <v>26824.17</v>
      </c>
      <c r="G115" s="71">
        <v>0.5</v>
      </c>
      <c r="H115" s="71">
        <v>0.5</v>
      </c>
      <c r="J115" s="64">
        <f>E115*0.5</f>
        <v>13412.084999999999</v>
      </c>
      <c r="K115" s="64">
        <f>E115*0.5</f>
        <v>13412.084999999999</v>
      </c>
    </row>
    <row r="116" spans="1:11" ht="13.5" thickBot="1" x14ac:dyDescent="0.25">
      <c r="A116" s="68" t="s">
        <v>279</v>
      </c>
      <c r="B116" s="68" t="s">
        <v>282</v>
      </c>
      <c r="D116" s="65" t="s">
        <v>345</v>
      </c>
      <c r="E116" s="64">
        <v>709109.65</v>
      </c>
      <c r="F116" s="71">
        <v>0.34</v>
      </c>
      <c r="G116" s="71">
        <v>0.33</v>
      </c>
      <c r="H116" s="71">
        <v>0.33</v>
      </c>
      <c r="I116" s="64">
        <f>E116*0.34</f>
        <v>241097.28100000002</v>
      </c>
      <c r="J116" s="64">
        <f>E116*0.33</f>
        <v>234006.18450000003</v>
      </c>
      <c r="K116" s="64">
        <f>E116*0.33</f>
        <v>234006.18450000003</v>
      </c>
    </row>
    <row r="117" spans="1:11" ht="13.5" thickBot="1" x14ac:dyDescent="0.25">
      <c r="A117" s="68" t="s">
        <v>279</v>
      </c>
      <c r="B117" s="68" t="s">
        <v>283</v>
      </c>
      <c r="D117" s="65" t="s">
        <v>345</v>
      </c>
      <c r="E117" s="64">
        <v>105086.58</v>
      </c>
      <c r="G117" s="71">
        <v>0.5</v>
      </c>
      <c r="H117" s="71">
        <v>0.5</v>
      </c>
      <c r="J117" s="64">
        <f>E117*0.5</f>
        <v>52543.29</v>
      </c>
      <c r="K117" s="64">
        <f>E117*0.5</f>
        <v>52543.29</v>
      </c>
    </row>
    <row r="118" spans="1:11" ht="13.5" thickBot="1" x14ac:dyDescent="0.25">
      <c r="A118" s="68" t="s">
        <v>279</v>
      </c>
      <c r="B118" s="68" t="s">
        <v>284</v>
      </c>
      <c r="D118" s="65" t="s">
        <v>345</v>
      </c>
      <c r="E118" s="64">
        <v>49500.61</v>
      </c>
      <c r="G118" s="71">
        <v>1</v>
      </c>
      <c r="J118" s="64">
        <v>49500.61</v>
      </c>
    </row>
    <row r="119" spans="1:11" ht="13.5" thickBot="1" x14ac:dyDescent="0.25">
      <c r="A119" s="68" t="s">
        <v>279</v>
      </c>
      <c r="B119" s="68" t="s">
        <v>285</v>
      </c>
      <c r="D119" s="65" t="s">
        <v>345</v>
      </c>
      <c r="E119" s="76">
        <v>1147473.67</v>
      </c>
      <c r="F119" s="77"/>
      <c r="G119" s="77">
        <v>1</v>
      </c>
      <c r="H119" s="77"/>
      <c r="I119" s="76"/>
      <c r="J119" s="76">
        <v>1147473.67</v>
      </c>
      <c r="K119" s="76"/>
    </row>
    <row r="120" spans="1:11" s="81" customFormat="1" ht="13.5" thickBot="1" x14ac:dyDescent="0.25">
      <c r="A120" s="80"/>
      <c r="B120" s="80"/>
      <c r="C120" s="63"/>
      <c r="D120" s="63"/>
      <c r="E120" s="60">
        <f>SUM(E113:E119)</f>
        <v>2089619.2399999998</v>
      </c>
      <c r="F120" s="61"/>
      <c r="G120" s="61"/>
      <c r="H120" s="61"/>
      <c r="I120" s="60">
        <f>SUM(I113:I119)</f>
        <v>258649.63140000001</v>
      </c>
      <c r="J120" s="60">
        <f>SUM(J113:J119)</f>
        <v>1513971.9442999999</v>
      </c>
      <c r="K120" s="60">
        <f>SUM(K113:K119)</f>
        <v>316997.6643</v>
      </c>
    </row>
    <row r="121" spans="1:11" ht="13.5" thickBot="1" x14ac:dyDescent="0.25">
      <c r="A121" s="68" t="s">
        <v>103</v>
      </c>
      <c r="B121" s="68" t="s">
        <v>104</v>
      </c>
      <c r="C121" s="79"/>
      <c r="D121" s="70"/>
    </row>
    <row r="122" spans="1:11" ht="13.5" thickBot="1" x14ac:dyDescent="0.25">
      <c r="A122" s="68" t="s">
        <v>103</v>
      </c>
      <c r="B122" s="68" t="s">
        <v>105</v>
      </c>
      <c r="C122" s="70"/>
      <c r="D122" s="70"/>
    </row>
    <row r="123" spans="1:11" ht="13.5" thickBot="1" x14ac:dyDescent="0.25">
      <c r="A123" s="68" t="s">
        <v>103</v>
      </c>
      <c r="B123" s="68" t="s">
        <v>106</v>
      </c>
      <c r="C123" s="70"/>
      <c r="D123" s="70"/>
    </row>
    <row r="124" spans="1:11" ht="13.5" thickBot="1" x14ac:dyDescent="0.25">
      <c r="A124" s="68" t="s">
        <v>103</v>
      </c>
      <c r="B124" s="68" t="s">
        <v>107</v>
      </c>
      <c r="C124" s="70"/>
      <c r="D124" s="70"/>
    </row>
    <row r="125" spans="1:11" ht="13.5" thickBot="1" x14ac:dyDescent="0.25">
      <c r="A125" s="68" t="s">
        <v>103</v>
      </c>
      <c r="B125" s="68" t="s">
        <v>108</v>
      </c>
      <c r="C125" s="70"/>
      <c r="D125" s="70"/>
    </row>
    <row r="126" spans="1:11" ht="13.5" thickBot="1" x14ac:dyDescent="0.25">
      <c r="A126" s="68" t="s">
        <v>103</v>
      </c>
      <c r="B126" s="68" t="s">
        <v>109</v>
      </c>
      <c r="C126" s="70"/>
      <c r="D126" s="70"/>
    </row>
    <row r="127" spans="1:11" ht="13.5" thickBot="1" x14ac:dyDescent="0.25">
      <c r="A127" s="68" t="s">
        <v>103</v>
      </c>
      <c r="B127" s="68" t="s">
        <v>110</v>
      </c>
      <c r="C127" s="70"/>
      <c r="D127" s="70"/>
    </row>
    <row r="128" spans="1:11" ht="13.5" thickBot="1" x14ac:dyDescent="0.25">
      <c r="A128" s="68" t="s">
        <v>103</v>
      </c>
      <c r="B128" s="68" t="s">
        <v>111</v>
      </c>
      <c r="C128" s="70"/>
      <c r="D128" s="70"/>
    </row>
    <row r="129" spans="1:4" ht="13.5" thickBot="1" x14ac:dyDescent="0.25">
      <c r="A129" s="68" t="s">
        <v>103</v>
      </c>
      <c r="B129" s="68" t="s">
        <v>112</v>
      </c>
      <c r="C129" s="70"/>
      <c r="D129" s="70"/>
    </row>
    <row r="130" spans="1:4" ht="13.5" thickBot="1" x14ac:dyDescent="0.25">
      <c r="A130" s="68" t="s">
        <v>103</v>
      </c>
      <c r="B130" s="68" t="s">
        <v>113</v>
      </c>
      <c r="C130" s="70"/>
      <c r="D130" s="70"/>
    </row>
    <row r="131" spans="1:4" ht="13.5" thickBot="1" x14ac:dyDescent="0.25">
      <c r="A131" s="68" t="s">
        <v>103</v>
      </c>
      <c r="B131" s="68" t="s">
        <v>114</v>
      </c>
      <c r="C131" s="70"/>
      <c r="D131" s="70"/>
    </row>
    <row r="132" spans="1:4" ht="13.5" thickBot="1" x14ac:dyDescent="0.25">
      <c r="A132" s="68" t="s">
        <v>103</v>
      </c>
      <c r="B132" s="68" t="s">
        <v>115</v>
      </c>
      <c r="C132" s="70"/>
      <c r="D132" s="70"/>
    </row>
    <row r="133" spans="1:4" ht="13.5" thickBot="1" x14ac:dyDescent="0.25">
      <c r="A133" s="68" t="s">
        <v>103</v>
      </c>
      <c r="B133" s="68" t="s">
        <v>120</v>
      </c>
      <c r="C133" s="70"/>
      <c r="D133" s="70"/>
    </row>
    <row r="134" spans="1:4" ht="13.5" thickBot="1" x14ac:dyDescent="0.25">
      <c r="A134" s="68" t="s">
        <v>103</v>
      </c>
      <c r="B134" s="68" t="s">
        <v>121</v>
      </c>
      <c r="C134" s="70"/>
      <c r="D134" s="70"/>
    </row>
    <row r="135" spans="1:4" ht="13.5" thickBot="1" x14ac:dyDescent="0.25">
      <c r="A135" s="68" t="s">
        <v>103</v>
      </c>
      <c r="B135" s="68" t="s">
        <v>122</v>
      </c>
      <c r="C135" s="70"/>
      <c r="D135" s="70"/>
    </row>
    <row r="136" spans="1:4" ht="13.5" thickBot="1" x14ac:dyDescent="0.25">
      <c r="A136" s="68" t="s">
        <v>103</v>
      </c>
      <c r="B136" s="68" t="s">
        <v>128</v>
      </c>
      <c r="C136" s="70"/>
      <c r="D136" s="70"/>
    </row>
    <row r="137" spans="1:4" ht="13.5" thickBot="1" x14ac:dyDescent="0.25">
      <c r="A137" s="68" t="s">
        <v>103</v>
      </c>
      <c r="B137" s="68" t="s">
        <v>131</v>
      </c>
      <c r="C137" s="79"/>
      <c r="D137" s="70"/>
    </row>
    <row r="138" spans="1:4" ht="13.5" thickBot="1" x14ac:dyDescent="0.25">
      <c r="A138" s="68" t="s">
        <v>103</v>
      </c>
      <c r="B138" s="68" t="s">
        <v>133</v>
      </c>
      <c r="C138" s="70"/>
      <c r="D138" s="70"/>
    </row>
    <row r="139" spans="1:4" ht="13.5" thickBot="1" x14ac:dyDescent="0.25">
      <c r="A139" s="68" t="s">
        <v>103</v>
      </c>
      <c r="B139" s="68" t="s">
        <v>135</v>
      </c>
      <c r="C139" s="72"/>
      <c r="D139" s="72"/>
    </row>
    <row r="140" spans="1:4" ht="13.5" thickBot="1" x14ac:dyDescent="0.25">
      <c r="A140" s="68" t="s">
        <v>103</v>
      </c>
      <c r="B140" s="68" t="s">
        <v>140</v>
      </c>
      <c r="C140" s="72"/>
      <c r="D140" s="72"/>
    </row>
    <row r="141" spans="1:4" ht="13.5" thickBot="1" x14ac:dyDescent="0.25">
      <c r="A141" s="68" t="s">
        <v>103</v>
      </c>
      <c r="B141" s="68" t="s">
        <v>141</v>
      </c>
      <c r="C141" s="72"/>
      <c r="D141" s="72"/>
    </row>
    <row r="142" spans="1:4" ht="13.5" thickBot="1" x14ac:dyDescent="0.25">
      <c r="A142" s="68" t="s">
        <v>103</v>
      </c>
      <c r="B142" s="68" t="s">
        <v>142</v>
      </c>
      <c r="C142" s="72"/>
      <c r="D142" s="72"/>
    </row>
    <row r="143" spans="1:4" ht="13.5" thickBot="1" x14ac:dyDescent="0.25">
      <c r="A143" s="68" t="s">
        <v>103</v>
      </c>
      <c r="B143" s="68" t="s">
        <v>145</v>
      </c>
      <c r="C143" s="72"/>
      <c r="D143" s="72"/>
    </row>
    <row r="144" spans="1:4" ht="13.5" thickBot="1" x14ac:dyDescent="0.25">
      <c r="A144" s="68" t="s">
        <v>103</v>
      </c>
      <c r="B144" s="68" t="s">
        <v>146</v>
      </c>
    </row>
    <row r="145" spans="1:4" ht="13.5" thickBot="1" x14ac:dyDescent="0.25">
      <c r="A145" s="68" t="s">
        <v>103</v>
      </c>
      <c r="B145" s="68" t="s">
        <v>147</v>
      </c>
    </row>
    <row r="146" spans="1:4" ht="13.5" thickBot="1" x14ac:dyDescent="0.25">
      <c r="A146" s="68" t="s">
        <v>103</v>
      </c>
      <c r="B146" s="68" t="s">
        <v>148</v>
      </c>
      <c r="C146" s="78"/>
      <c r="D146" s="78"/>
    </row>
    <row r="147" spans="1:4" ht="13.5" thickBot="1" x14ac:dyDescent="0.25">
      <c r="A147" s="68" t="s">
        <v>103</v>
      </c>
      <c r="B147" s="68" t="s">
        <v>149</v>
      </c>
      <c r="C147" s="78"/>
      <c r="D147" s="78"/>
    </row>
    <row r="148" spans="1:4" ht="13.5" thickBot="1" x14ac:dyDescent="0.25">
      <c r="A148" s="68" t="s">
        <v>103</v>
      </c>
      <c r="B148" s="68" t="s">
        <v>151</v>
      </c>
      <c r="C148" s="78"/>
      <c r="D148" s="78"/>
    </row>
    <row r="149" spans="1:4" ht="13.5" thickBot="1" x14ac:dyDescent="0.25">
      <c r="A149" s="68" t="s">
        <v>103</v>
      </c>
      <c r="B149" s="68" t="s">
        <v>153</v>
      </c>
      <c r="C149" s="72" t="s">
        <v>207</v>
      </c>
      <c r="D149" s="72"/>
    </row>
    <row r="150" spans="1:4" ht="13.5" thickBot="1" x14ac:dyDescent="0.25">
      <c r="A150" s="68" t="s">
        <v>103</v>
      </c>
      <c r="B150" s="68" t="s">
        <v>155</v>
      </c>
      <c r="C150" s="78"/>
      <c r="D150" s="78"/>
    </row>
    <row r="151" spans="1:4" ht="13.5" thickBot="1" x14ac:dyDescent="0.25">
      <c r="A151" s="68" t="s">
        <v>103</v>
      </c>
      <c r="B151" s="68" t="s">
        <v>156</v>
      </c>
      <c r="C151" s="78"/>
      <c r="D151" s="78"/>
    </row>
    <row r="152" spans="1:4" ht="13.5" thickBot="1" x14ac:dyDescent="0.25">
      <c r="A152" s="68" t="s">
        <v>103</v>
      </c>
      <c r="B152" s="68" t="s">
        <v>157</v>
      </c>
      <c r="C152" s="78"/>
      <c r="D152" s="78"/>
    </row>
    <row r="153" spans="1:4" ht="13.5" thickBot="1" x14ac:dyDescent="0.25">
      <c r="A153" s="68" t="s">
        <v>103</v>
      </c>
      <c r="B153" s="68" t="s">
        <v>158</v>
      </c>
      <c r="C153" s="78"/>
      <c r="D153" s="78"/>
    </row>
    <row r="154" spans="1:4" ht="13.5" thickBot="1" x14ac:dyDescent="0.25">
      <c r="A154" s="68" t="s">
        <v>103</v>
      </c>
      <c r="B154" s="68" t="s">
        <v>159</v>
      </c>
      <c r="C154" s="78"/>
      <c r="D154" s="78"/>
    </row>
    <row r="155" spans="1:4" ht="13.5" thickBot="1" x14ac:dyDescent="0.25">
      <c r="A155" s="68" t="s">
        <v>103</v>
      </c>
      <c r="B155" s="68" t="s">
        <v>160</v>
      </c>
      <c r="C155" s="72" t="s">
        <v>208</v>
      </c>
      <c r="D155" s="72"/>
    </row>
    <row r="156" spans="1:4" ht="13.5" thickBot="1" x14ac:dyDescent="0.25">
      <c r="A156" s="68" t="s">
        <v>103</v>
      </c>
      <c r="B156" s="68" t="s">
        <v>162</v>
      </c>
      <c r="C156" s="72" t="s">
        <v>331</v>
      </c>
      <c r="D156" s="72"/>
    </row>
    <row r="157" spans="1:4" ht="13.5" thickBot="1" x14ac:dyDescent="0.25">
      <c r="A157" s="68" t="s">
        <v>103</v>
      </c>
      <c r="B157" s="68" t="s">
        <v>163</v>
      </c>
      <c r="C157" s="78"/>
      <c r="D157" s="78"/>
    </row>
    <row r="158" spans="1:4" ht="13.5" thickBot="1" x14ac:dyDescent="0.25">
      <c r="A158" s="68" t="s">
        <v>103</v>
      </c>
      <c r="B158" s="68" t="s">
        <v>165</v>
      </c>
      <c r="C158" s="78"/>
      <c r="D158" s="78"/>
    </row>
    <row r="159" spans="1:4" ht="13.5" thickBot="1" x14ac:dyDescent="0.25">
      <c r="A159" s="68" t="s">
        <v>103</v>
      </c>
      <c r="B159" s="68" t="s">
        <v>166</v>
      </c>
      <c r="C159" s="78"/>
      <c r="D159" s="78"/>
    </row>
    <row r="160" spans="1:4" ht="13.5" thickBot="1" x14ac:dyDescent="0.25">
      <c r="A160" s="68" t="s">
        <v>103</v>
      </c>
      <c r="B160" s="68" t="s">
        <v>168</v>
      </c>
    </row>
    <row r="161" spans="1:4" ht="13.5" thickBot="1" x14ac:dyDescent="0.25">
      <c r="A161" s="68" t="s">
        <v>103</v>
      </c>
      <c r="B161" s="68" t="s">
        <v>169</v>
      </c>
    </row>
    <row r="162" spans="1:4" ht="13.5" thickBot="1" x14ac:dyDescent="0.25">
      <c r="A162" s="68" t="s">
        <v>103</v>
      </c>
      <c r="B162" s="68" t="s">
        <v>170</v>
      </c>
    </row>
    <row r="163" spans="1:4" ht="13.5" thickBot="1" x14ac:dyDescent="0.25">
      <c r="A163" s="68" t="s">
        <v>103</v>
      </c>
      <c r="B163" s="68" t="s">
        <v>171</v>
      </c>
    </row>
    <row r="164" spans="1:4" ht="13.5" thickBot="1" x14ac:dyDescent="0.25">
      <c r="A164" s="68" t="s">
        <v>103</v>
      </c>
      <c r="B164" s="68" t="s">
        <v>172</v>
      </c>
    </row>
    <row r="165" spans="1:4" ht="13.5" thickBot="1" x14ac:dyDescent="0.25">
      <c r="A165" s="68" t="s">
        <v>103</v>
      </c>
      <c r="B165" s="68" t="s">
        <v>174</v>
      </c>
      <c r="C165" s="72" t="s">
        <v>209</v>
      </c>
      <c r="D165" s="72"/>
    </row>
    <row r="166" spans="1:4" ht="13.5" thickBot="1" x14ac:dyDescent="0.25">
      <c r="A166" s="68" t="s">
        <v>103</v>
      </c>
      <c r="B166" s="68" t="s">
        <v>176</v>
      </c>
    </row>
    <row r="167" spans="1:4" ht="13.5" thickBot="1" x14ac:dyDescent="0.25">
      <c r="A167" s="68" t="s">
        <v>103</v>
      </c>
      <c r="B167" s="68" t="s">
        <v>177</v>
      </c>
    </row>
    <row r="168" spans="1:4" ht="13.5" thickBot="1" x14ac:dyDescent="0.25">
      <c r="A168" s="68" t="s">
        <v>103</v>
      </c>
      <c r="B168" s="68" t="s">
        <v>178</v>
      </c>
    </row>
    <row r="169" spans="1:4" ht="13.5" thickBot="1" x14ac:dyDescent="0.25">
      <c r="A169" s="68" t="s">
        <v>103</v>
      </c>
      <c r="B169" s="68" t="s">
        <v>179</v>
      </c>
    </row>
    <row r="170" spans="1:4" ht="13.5" thickBot="1" x14ac:dyDescent="0.25">
      <c r="A170" s="68" t="s">
        <v>103</v>
      </c>
      <c r="B170" s="68" t="s">
        <v>180</v>
      </c>
    </row>
    <row r="171" spans="1:4" ht="13.5" thickBot="1" x14ac:dyDescent="0.25">
      <c r="A171" s="68" t="s">
        <v>103</v>
      </c>
      <c r="B171" s="68" t="s">
        <v>180</v>
      </c>
    </row>
    <row r="172" spans="1:4" ht="13.5" thickBot="1" x14ac:dyDescent="0.25">
      <c r="A172" s="68" t="s">
        <v>103</v>
      </c>
      <c r="B172" s="68" t="s">
        <v>181</v>
      </c>
    </row>
    <row r="173" spans="1:4" ht="13.5" thickBot="1" x14ac:dyDescent="0.25">
      <c r="A173" s="68" t="s">
        <v>103</v>
      </c>
      <c r="B173" s="68" t="s">
        <v>183</v>
      </c>
    </row>
    <row r="174" spans="1:4" ht="13.5" thickBot="1" x14ac:dyDescent="0.25">
      <c r="A174" s="68" t="s">
        <v>103</v>
      </c>
      <c r="B174" s="68" t="s">
        <v>184</v>
      </c>
    </row>
    <row r="175" spans="1:4" ht="13.5" thickBot="1" x14ac:dyDescent="0.25">
      <c r="A175" s="68" t="s">
        <v>103</v>
      </c>
      <c r="B175" s="68" t="s">
        <v>187</v>
      </c>
    </row>
    <row r="176" spans="1:4" ht="13.5" thickBot="1" x14ac:dyDescent="0.25">
      <c r="A176" s="68" t="s">
        <v>103</v>
      </c>
      <c r="B176" s="68" t="s">
        <v>190</v>
      </c>
    </row>
    <row r="177" spans="1:4" ht="13.5" thickBot="1" x14ac:dyDescent="0.25">
      <c r="A177" s="68" t="s">
        <v>103</v>
      </c>
      <c r="B177" s="68" t="s">
        <v>191</v>
      </c>
    </row>
    <row r="178" spans="1:4" ht="13.5" thickBot="1" x14ac:dyDescent="0.25">
      <c r="A178" s="68" t="s">
        <v>103</v>
      </c>
      <c r="B178" s="68" t="s">
        <v>192</v>
      </c>
    </row>
    <row r="179" spans="1:4" ht="13.5" thickBot="1" x14ac:dyDescent="0.25">
      <c r="A179" s="68" t="s">
        <v>103</v>
      </c>
      <c r="B179" s="68" t="s">
        <v>193</v>
      </c>
    </row>
    <row r="180" spans="1:4" ht="13.5" thickBot="1" x14ac:dyDescent="0.25">
      <c r="A180" s="68" t="s">
        <v>103</v>
      </c>
      <c r="B180" s="68" t="s">
        <v>195</v>
      </c>
    </row>
    <row r="181" spans="1:4" ht="13.5" thickBot="1" x14ac:dyDescent="0.25">
      <c r="A181" s="68" t="s">
        <v>103</v>
      </c>
      <c r="B181" s="68" t="s">
        <v>196</v>
      </c>
    </row>
    <row r="182" spans="1:4" ht="13.5" thickBot="1" x14ac:dyDescent="0.25">
      <c r="A182" s="68" t="s">
        <v>103</v>
      </c>
      <c r="B182" s="68" t="s">
        <v>197</v>
      </c>
    </row>
    <row r="183" spans="1:4" ht="13.5" thickBot="1" x14ac:dyDescent="0.25">
      <c r="A183" s="68" t="s">
        <v>103</v>
      </c>
      <c r="B183" s="68" t="s">
        <v>198</v>
      </c>
    </row>
    <row r="184" spans="1:4" ht="13.5" thickBot="1" x14ac:dyDescent="0.25">
      <c r="A184" s="68" t="s">
        <v>103</v>
      </c>
      <c r="B184" s="68" t="s">
        <v>199</v>
      </c>
    </row>
    <row r="185" spans="1:4" ht="13.5" thickBot="1" x14ac:dyDescent="0.25">
      <c r="A185" s="68" t="s">
        <v>103</v>
      </c>
      <c r="B185" s="68" t="s">
        <v>200</v>
      </c>
    </row>
    <row r="186" spans="1:4" ht="13.5" thickBot="1" x14ac:dyDescent="0.25">
      <c r="A186" s="68" t="s">
        <v>103</v>
      </c>
      <c r="B186" s="68" t="s">
        <v>201</v>
      </c>
    </row>
    <row r="187" spans="1:4" ht="13.5" thickBot="1" x14ac:dyDescent="0.25">
      <c r="A187" s="68" t="s">
        <v>103</v>
      </c>
      <c r="B187" s="68" t="s">
        <v>202</v>
      </c>
    </row>
    <row r="188" spans="1:4" ht="13.5" thickBot="1" x14ac:dyDescent="0.25">
      <c r="A188" s="68" t="s">
        <v>103</v>
      </c>
      <c r="B188" s="68" t="s">
        <v>203</v>
      </c>
      <c r="C188" s="78"/>
      <c r="D188" s="78"/>
    </row>
    <row r="189" spans="1:4" ht="13.5" thickBot="1" x14ac:dyDescent="0.25">
      <c r="A189" s="68" t="s">
        <v>103</v>
      </c>
      <c r="B189" s="68" t="s">
        <v>204</v>
      </c>
    </row>
    <row r="190" spans="1:4" ht="13.5" thickBot="1" x14ac:dyDescent="0.25">
      <c r="A190" s="68" t="s">
        <v>103</v>
      </c>
      <c r="B190" s="68" t="s">
        <v>206</v>
      </c>
      <c r="C190" s="78"/>
      <c r="D190" s="78"/>
    </row>
    <row r="191" spans="1:4" ht="13.5" thickBot="1" x14ac:dyDescent="0.25">
      <c r="A191" s="68" t="s">
        <v>103</v>
      </c>
      <c r="B191" s="68" t="s">
        <v>207</v>
      </c>
      <c r="C191" s="78"/>
      <c r="D191" s="78"/>
    </row>
    <row r="192" spans="1:4" ht="13.5" thickBot="1" x14ac:dyDescent="0.25">
      <c r="A192" s="68" t="s">
        <v>103</v>
      </c>
      <c r="B192" s="68" t="s">
        <v>208</v>
      </c>
    </row>
    <row r="193" spans="1:2" ht="13.5" thickBot="1" x14ac:dyDescent="0.25">
      <c r="A193" s="68" t="s">
        <v>103</v>
      </c>
      <c r="B193" s="68" t="s">
        <v>209</v>
      </c>
    </row>
    <row r="194" spans="1:2" ht="13.5" thickBot="1" x14ac:dyDescent="0.25">
      <c r="A194" s="68" t="s">
        <v>103</v>
      </c>
      <c r="B194" s="68" t="s">
        <v>210</v>
      </c>
    </row>
    <row r="195" spans="1:2" ht="13.5" thickBot="1" x14ac:dyDescent="0.25">
      <c r="A195" s="68" t="s">
        <v>103</v>
      </c>
      <c r="B195" s="68" t="s">
        <v>212</v>
      </c>
    </row>
    <row r="196" spans="1:2" ht="13.5" thickBot="1" x14ac:dyDescent="0.25">
      <c r="A196" s="68" t="s">
        <v>103</v>
      </c>
      <c r="B196" s="68" t="s">
        <v>214</v>
      </c>
    </row>
    <row r="197" spans="1:2" ht="13.5" thickBot="1" x14ac:dyDescent="0.25">
      <c r="A197" s="68" t="s">
        <v>103</v>
      </c>
      <c r="B197" s="68" t="s">
        <v>215</v>
      </c>
    </row>
    <row r="198" spans="1:2" ht="13.5" thickBot="1" x14ac:dyDescent="0.25">
      <c r="A198" s="68" t="s">
        <v>103</v>
      </c>
      <c r="B198" s="68" t="s">
        <v>218</v>
      </c>
    </row>
    <row r="199" spans="1:2" ht="13.5" thickBot="1" x14ac:dyDescent="0.25">
      <c r="A199" s="68" t="s">
        <v>103</v>
      </c>
      <c r="B199" s="68" t="s">
        <v>219</v>
      </c>
    </row>
    <row r="200" spans="1:2" ht="13.5" thickBot="1" x14ac:dyDescent="0.25">
      <c r="A200" s="68" t="s">
        <v>103</v>
      </c>
      <c r="B200" s="68" t="s">
        <v>220</v>
      </c>
    </row>
    <row r="201" spans="1:2" ht="13.5" thickBot="1" x14ac:dyDescent="0.25">
      <c r="A201" s="68" t="s">
        <v>103</v>
      </c>
      <c r="B201" s="68" t="s">
        <v>221</v>
      </c>
    </row>
    <row r="202" spans="1:2" ht="13.5" thickBot="1" x14ac:dyDescent="0.25">
      <c r="A202" s="68" t="s">
        <v>103</v>
      </c>
      <c r="B202" s="68" t="s">
        <v>222</v>
      </c>
    </row>
    <row r="203" spans="1:2" ht="13.5" thickBot="1" x14ac:dyDescent="0.25">
      <c r="A203" s="68" t="s">
        <v>103</v>
      </c>
      <c r="B203" s="68" t="s">
        <v>223</v>
      </c>
    </row>
    <row r="204" spans="1:2" ht="13.5" thickBot="1" x14ac:dyDescent="0.25">
      <c r="A204" s="68" t="s">
        <v>103</v>
      </c>
      <c r="B204" s="68" t="s">
        <v>224</v>
      </c>
    </row>
    <row r="205" spans="1:2" ht="13.5" thickBot="1" x14ac:dyDescent="0.25">
      <c r="A205" s="68" t="s">
        <v>103</v>
      </c>
      <c r="B205" s="68" t="s">
        <v>226</v>
      </c>
    </row>
    <row r="206" spans="1:2" ht="13.5" thickBot="1" x14ac:dyDescent="0.25">
      <c r="A206" s="68" t="s">
        <v>103</v>
      </c>
      <c r="B206" s="68" t="s">
        <v>227</v>
      </c>
    </row>
    <row r="207" spans="1:2" ht="13.5" thickBot="1" x14ac:dyDescent="0.25">
      <c r="A207" s="68" t="s">
        <v>103</v>
      </c>
      <c r="B207" s="68" t="s">
        <v>230</v>
      </c>
    </row>
    <row r="208" spans="1:2" ht="13.5" thickBot="1" x14ac:dyDescent="0.25">
      <c r="A208" s="68" t="s">
        <v>103</v>
      </c>
      <c r="B208" s="68" t="s">
        <v>231</v>
      </c>
    </row>
    <row r="209" spans="1:4" ht="13.5" thickBot="1" x14ac:dyDescent="0.25">
      <c r="A209" s="68" t="s">
        <v>103</v>
      </c>
      <c r="B209" s="68" t="s">
        <v>232</v>
      </c>
    </row>
    <row r="210" spans="1:4" ht="13.5" thickBot="1" x14ac:dyDescent="0.25">
      <c r="A210" s="68" t="s">
        <v>103</v>
      </c>
      <c r="B210" s="68" t="s">
        <v>234</v>
      </c>
    </row>
    <row r="211" spans="1:4" ht="13.5" thickBot="1" x14ac:dyDescent="0.25">
      <c r="A211" s="68" t="s">
        <v>103</v>
      </c>
      <c r="B211" s="68" t="s">
        <v>237</v>
      </c>
    </row>
    <row r="212" spans="1:4" ht="13.5" thickBot="1" x14ac:dyDescent="0.25">
      <c r="A212" s="68" t="s">
        <v>103</v>
      </c>
      <c r="B212" s="68" t="s">
        <v>238</v>
      </c>
    </row>
    <row r="213" spans="1:4" ht="13.5" thickBot="1" x14ac:dyDescent="0.25">
      <c r="A213" s="68" t="s">
        <v>103</v>
      </c>
      <c r="B213" s="68" t="s">
        <v>239</v>
      </c>
    </row>
    <row r="214" spans="1:4" ht="13.5" thickBot="1" x14ac:dyDescent="0.25">
      <c r="A214" s="68" t="s">
        <v>240</v>
      </c>
      <c r="B214" s="68" t="s">
        <v>241</v>
      </c>
      <c r="C214" s="70"/>
      <c r="D214" s="70"/>
    </row>
    <row r="215" spans="1:4" ht="13.5" thickBot="1" x14ac:dyDescent="0.25">
      <c r="A215" s="68" t="s">
        <v>240</v>
      </c>
      <c r="B215" s="68" t="s">
        <v>242</v>
      </c>
      <c r="C215" s="70"/>
      <c r="D215" s="70"/>
    </row>
    <row r="216" spans="1:4" ht="13.5" thickBot="1" x14ac:dyDescent="0.25">
      <c r="A216" s="68" t="s">
        <v>240</v>
      </c>
      <c r="B216" s="68" t="s">
        <v>243</v>
      </c>
      <c r="C216" s="70"/>
      <c r="D216" s="70"/>
    </row>
    <row r="217" spans="1:4" ht="13.5" thickBot="1" x14ac:dyDescent="0.25">
      <c r="A217" s="68" t="s">
        <v>258</v>
      </c>
      <c r="B217" s="68" t="s">
        <v>259</v>
      </c>
    </row>
    <row r="218" spans="1:4" ht="13.5" thickBot="1" x14ac:dyDescent="0.25">
      <c r="A218" s="68" t="s">
        <v>260</v>
      </c>
      <c r="B218" s="68" t="s">
        <v>261</v>
      </c>
      <c r="C218" s="70"/>
      <c r="D218" s="70"/>
    </row>
    <row r="219" spans="1:4" ht="13.5" thickBot="1" x14ac:dyDescent="0.25">
      <c r="A219" s="68" t="s">
        <v>260</v>
      </c>
      <c r="B219" s="68" t="s">
        <v>262</v>
      </c>
      <c r="C219" s="70"/>
      <c r="D219" s="70"/>
    </row>
    <row r="220" spans="1:4" ht="13.5" thickBot="1" x14ac:dyDescent="0.25">
      <c r="A220" s="68" t="s">
        <v>260</v>
      </c>
      <c r="B220" s="68" t="s">
        <v>263</v>
      </c>
      <c r="C220" s="72"/>
      <c r="D220" s="72"/>
    </row>
    <row r="221" spans="1:4" ht="13.5" thickBot="1" x14ac:dyDescent="0.25">
      <c r="A221" s="68" t="s">
        <v>260</v>
      </c>
      <c r="B221" s="68" t="s">
        <v>264</v>
      </c>
      <c r="C221" s="70"/>
      <c r="D221" s="70"/>
    </row>
    <row r="222" spans="1:4" ht="13.5" thickBot="1" x14ac:dyDescent="0.25">
      <c r="A222" s="68" t="s">
        <v>260</v>
      </c>
      <c r="B222" s="68" t="s">
        <v>265</v>
      </c>
      <c r="C222" s="70"/>
      <c r="D222" s="70"/>
    </row>
    <row r="223" spans="1:4" ht="13.5" thickBot="1" x14ac:dyDescent="0.25">
      <c r="A223" s="68" t="s">
        <v>260</v>
      </c>
      <c r="B223" s="68" t="s">
        <v>266</v>
      </c>
      <c r="D223" s="70"/>
    </row>
    <row r="224" spans="1:4" ht="13.5" thickBot="1" x14ac:dyDescent="0.25">
      <c r="A224" s="68" t="s">
        <v>260</v>
      </c>
      <c r="B224" s="68" t="s">
        <v>267</v>
      </c>
      <c r="D224" s="70"/>
    </row>
    <row r="225" spans="1:11" ht="13.5" thickBot="1" x14ac:dyDescent="0.25">
      <c r="A225" s="68" t="s">
        <v>260</v>
      </c>
      <c r="B225" s="68" t="s">
        <v>272</v>
      </c>
      <c r="D225" s="70"/>
    </row>
    <row r="226" spans="1:11" ht="13.5" thickBot="1" x14ac:dyDescent="0.25">
      <c r="A226" s="68" t="s">
        <v>260</v>
      </c>
      <c r="B226" s="68" t="s">
        <v>274</v>
      </c>
    </row>
    <row r="227" spans="1:11" ht="13.5" thickBot="1" x14ac:dyDescent="0.25">
      <c r="A227" s="68" t="s">
        <v>260</v>
      </c>
      <c r="B227" s="68" t="s">
        <v>275</v>
      </c>
    </row>
    <row r="228" spans="1:11" ht="13.5" thickBot="1" x14ac:dyDescent="0.25">
      <c r="A228" s="68" t="s">
        <v>260</v>
      </c>
      <c r="B228" s="68" t="s">
        <v>276</v>
      </c>
    </row>
    <row r="229" spans="1:11" x14ac:dyDescent="0.2">
      <c r="A229" s="69" t="s">
        <v>279</v>
      </c>
      <c r="B229" s="69" t="s">
        <v>109</v>
      </c>
      <c r="C229" s="70"/>
      <c r="D229" s="70"/>
    </row>
    <row r="230" spans="1:11" x14ac:dyDescent="0.2">
      <c r="A230" s="69" t="s">
        <v>279</v>
      </c>
      <c r="B230" s="69" t="s">
        <v>280</v>
      </c>
      <c r="C230" s="70"/>
      <c r="D230" s="70"/>
      <c r="E230" s="76"/>
      <c r="F230" s="77"/>
      <c r="G230" s="77"/>
      <c r="H230" s="77"/>
      <c r="I230" s="76"/>
      <c r="J230" s="76"/>
      <c r="K230" s="76"/>
    </row>
    <row r="231" spans="1:11" x14ac:dyDescent="0.2">
      <c r="A231" s="64"/>
      <c r="B231" s="64"/>
      <c r="E231" s="64">
        <f>SUM(E120,E112,E98,E90,E71,E38,E35,E24,E19)</f>
        <v>43340101.490000002</v>
      </c>
      <c r="I231" s="64">
        <f>SUM(I120,I112,I98,I90,I71,I38,I35,I24,I19)</f>
        <v>3242166.1347333333</v>
      </c>
      <c r="J231" s="64">
        <f>SUM(J120,J112,J98,J90,J71,J38,J35,J24,J19)</f>
        <v>35823085.00836733</v>
      </c>
      <c r="K231" s="64">
        <f>SUM(K120,K112,K98,K90,K71,K38,K35,K24,K19)</f>
        <v>4274850.3483673334</v>
      </c>
    </row>
    <row r="233" spans="1:11" x14ac:dyDescent="0.2">
      <c r="I233" s="64">
        <f>I231+J231+K231</f>
        <v>43340101.491467997</v>
      </c>
    </row>
  </sheetData>
  <printOptions gridLines="1"/>
  <pageMargins left="0.2" right="0.2" top="0.25" bottom="0.25" header="0.3" footer="0.3"/>
  <pageSetup scale="95"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Sponsored Programs</vt:lpstr>
      <vt:lpstr>Research</vt:lpstr>
      <vt:lpstr>Instruction</vt:lpstr>
      <vt:lpstr>Extension</vt:lpstr>
      <vt:lpstr>Supplemental Info</vt:lpstr>
      <vt:lpstr>Sheet1</vt:lpstr>
      <vt:lpstr>Extension!Print_Area</vt:lpstr>
      <vt:lpstr>Instruction!Print_Area</vt:lpstr>
      <vt:lpstr>Research!Print_Area</vt:lpstr>
      <vt:lpstr>'Sponsored Programs'!Print_Area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Sponsored Program Expenditures for FY95</dc:title>
  <dc:subject>SP EXP FOR fy95</dc:subject>
  <dc:creator>Stefanie McCubbins</dc:creator>
  <cp:lastModifiedBy>Tetik, Carmen</cp:lastModifiedBy>
  <cp:lastPrinted>2017-04-05T17:14:00Z</cp:lastPrinted>
  <dcterms:created xsi:type="dcterms:W3CDTF">1997-10-10T20:56:20Z</dcterms:created>
  <dcterms:modified xsi:type="dcterms:W3CDTF">2017-04-05T17:23:46Z</dcterms:modified>
</cp:coreProperties>
</file>